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FITKO\08_Finanzen\11_Dokumente\IT-PLR\49. Sitzung 03_2026\Dritte Zustellung\"/>
    </mc:Choice>
  </mc:AlternateContent>
  <xr:revisionPtr revIDLastSave="0" documentId="8_{FFBBA998-EA80-4C70-A761-A9C0E8F0579B}" xr6:coauthVersionLast="47" xr6:coauthVersionMax="47" xr10:uidLastSave="{00000000-0000-0000-0000-000000000000}"/>
  <bookViews>
    <workbookView xWindow="57480" yWindow="1815" windowWidth="29040" windowHeight="15720" xr2:uid="{00000000-000D-0000-FFFF-FFFF00000000}"/>
  </bookViews>
  <sheets>
    <sheet name="Budget" sheetId="29" r:id="rId1"/>
    <sheet name="Kostenvert. Budget" sheetId="24" state="hidden" r:id="rId2"/>
    <sheet name="Kostenvert 2025 Ergebnis" sheetId="30" r:id="rId3"/>
  </sheets>
  <externalReferences>
    <externalReference r:id="rId4"/>
    <externalReference r:id="rId5"/>
    <externalReference r:id="rId6"/>
  </externalReferences>
  <definedNames>
    <definedName name="ANGEST23" localSheetId="2">#REF!</definedName>
    <definedName name="ANGEST23">#REF!</definedName>
    <definedName name="ANGEST24" localSheetId="2">#REF!</definedName>
    <definedName name="ANGEST24">#REF!</definedName>
    <definedName name="ANGEST25" localSheetId="2">#REF!</definedName>
    <definedName name="ANGEST25">#REF!</definedName>
    <definedName name="ANGEST26">#REF!</definedName>
    <definedName name="ANGEST27">#REF!</definedName>
    <definedName name="Angestellte€26">[1]Stellenplan!$M$23</definedName>
    <definedName name="Angestellte€27">[1]Stellenplan!$N$23</definedName>
    <definedName name="Angestellte€28">[1]Stellenplan!$O$23</definedName>
    <definedName name="Angestellte€29">[1]Stellenplan!$P$23</definedName>
    <definedName name="Angestellte26">[1]Stellenplan!$E$23</definedName>
    <definedName name="Angestellte27">[1]Stellenplan!$H$23</definedName>
    <definedName name="Angestellte28">[1]Stellenplan!$I$23</definedName>
    <definedName name="Angestellte29">[1]Stellenplan!$J$23</definedName>
    <definedName name="ANGEUR24">#REF!</definedName>
    <definedName name="ANGEUR25">#REF!</definedName>
    <definedName name="ANGEUR26">#REF!</definedName>
    <definedName name="ANGEUR27">#REF!</definedName>
    <definedName name="BEAMT23">#REF!</definedName>
    <definedName name="BEAMT24">#REF!</definedName>
    <definedName name="BEAMT25">#REF!</definedName>
    <definedName name="BEAMT26">#REF!</definedName>
    <definedName name="BEAMT27">#REF!</definedName>
    <definedName name="Beamte€26">[1]Stellenplan!$M$12</definedName>
    <definedName name="Beamte€27">[1]Stellenplan!$N$12</definedName>
    <definedName name="Beamte€28">[1]Stellenplan!$O$12</definedName>
    <definedName name="Beamte€29">[1]Stellenplan!$P$12</definedName>
    <definedName name="Beamte25">[1]Stellenplan!$D$12</definedName>
    <definedName name="Beamte26">[1]Stellenplan!$E$12</definedName>
    <definedName name="Beamte27">[1]Stellenplan!$H$12</definedName>
    <definedName name="Beamte28">[1]Stellenplan!$I$12</definedName>
    <definedName name="Beamte29">[1]Stellenplan!$J$12</definedName>
    <definedName name="BEAMTEUR24">#REF!</definedName>
    <definedName name="BEAMTEUR25">#REF!</definedName>
    <definedName name="BEAMTEUR26">#REF!</definedName>
    <definedName name="BEAMTEUR27">#REF!</definedName>
    <definedName name="BESCHAEFT23">#REF!</definedName>
    <definedName name="BESCHAEFT24">#REF!</definedName>
    <definedName name="BESCHAEFT25">#REF!</definedName>
    <definedName name="BESCHAEFT26">#REF!</definedName>
    <definedName name="BESCHAEFT27">#REF!</definedName>
    <definedName name="Beschäftigte25">[1]Stellenplan!$D$24</definedName>
    <definedName name="Beschäftigte26">[1]Stellenplan!$E$24</definedName>
    <definedName name="Beschäftigte27">[1]Stellenplan!$H$24</definedName>
    <definedName name="Beschäftigte28">[1]Stellenplan!$I$24</definedName>
    <definedName name="Beschäftigte29">[1]Stellenplan!$J$24</definedName>
    <definedName name="_xlnm.Print_Area" localSheetId="0">Budget!$C$1:$M$276</definedName>
    <definedName name="_xlnm.Print_Area" localSheetId="2">'Kostenvert 2025 Ergebnis'!$A$1:$W$27</definedName>
    <definedName name="_xlnm.Print_Area" localSheetId="1">'Kostenvert. Budget'!$A$1:$V$27</definedName>
    <definedName name="_xlnm.Print_Titles" localSheetId="0">Budget!$3:$3</definedName>
    <definedName name="_xlnm.Print_Titles" localSheetId="2">'Kostenvert 2025 Ergebnis'!$A:$A</definedName>
    <definedName name="_xlnm.Print_Titles" localSheetId="1">'Kostenvert. Budget'!$A:$A</definedName>
    <definedName name="Plus2022" localSheetId="2">[1]Stellenplan!#REF!</definedName>
    <definedName name="Plus2022">#REF!</definedName>
    <definedName name="x">'[1]Budget 2026'!#REF!</definedName>
    <definedName name="X_1">'[1]Budget 2026'!#REF!</definedName>
    <definedName name="X_2">'[1]Budget 2026'!#REF!</definedName>
    <definedName name="X_3">'[1]Budget 2026'!#REF!</definedName>
    <definedName name="X_4">'[1]Budget 2026'!#REF!</definedName>
    <definedName name="X_5">'[1]Budget 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5" i="29" l="1"/>
  <c r="J123" i="29"/>
  <c r="N145" i="29"/>
  <c r="J158" i="29"/>
  <c r="H145" i="29" l="1"/>
  <c r="U261" i="29" l="1"/>
  <c r="U260" i="29"/>
  <c r="U259" i="29"/>
  <c r="U258" i="29"/>
  <c r="U255" i="29"/>
  <c r="U254" i="29"/>
  <c r="U253" i="29"/>
  <c r="U252" i="29"/>
  <c r="U251" i="29"/>
  <c r="U248" i="29"/>
  <c r="U247" i="29"/>
  <c r="U246" i="29"/>
  <c r="U245" i="29"/>
  <c r="U244" i="29"/>
  <c r="U243" i="29"/>
  <c r="U242" i="29"/>
  <c r="U241" i="29"/>
  <c r="U240" i="29"/>
  <c r="U239" i="29"/>
  <c r="U238" i="29"/>
  <c r="U237" i="29"/>
  <c r="U236" i="29"/>
  <c r="U235" i="29"/>
  <c r="U234" i="29"/>
  <c r="U233" i="29"/>
  <c r="U232" i="29"/>
  <c r="U231" i="29"/>
  <c r="U230" i="29"/>
  <c r="U229" i="29"/>
  <c r="U228" i="29"/>
  <c r="U227" i="29"/>
  <c r="U226" i="29"/>
  <c r="U225" i="29"/>
  <c r="U224" i="29"/>
  <c r="U223" i="29"/>
  <c r="U222" i="29"/>
  <c r="U221" i="29"/>
  <c r="U220" i="29"/>
  <c r="U219" i="29"/>
  <c r="U218" i="29"/>
  <c r="U217" i="29"/>
  <c r="U216" i="29"/>
  <c r="U215" i="29"/>
  <c r="U214" i="29"/>
  <c r="U213" i="29"/>
  <c r="U212" i="29"/>
  <c r="U211" i="29"/>
  <c r="U210" i="29"/>
  <c r="U209" i="29"/>
  <c r="U208" i="29"/>
  <c r="U207" i="29"/>
  <c r="U206" i="29"/>
  <c r="U205" i="29"/>
  <c r="U204" i="29"/>
  <c r="U203" i="29"/>
  <c r="U202" i="29"/>
  <c r="U201" i="29"/>
  <c r="U200" i="29"/>
  <c r="U199" i="29"/>
  <c r="U198" i="29"/>
  <c r="U197" i="29"/>
  <c r="U196" i="29"/>
  <c r="U195" i="29"/>
  <c r="U194" i="29"/>
  <c r="U193" i="29"/>
  <c r="U192" i="29"/>
  <c r="U191" i="29"/>
  <c r="U190" i="29"/>
  <c r="U189" i="29"/>
  <c r="U188" i="29"/>
  <c r="U187" i="29"/>
  <c r="U186" i="29"/>
  <c r="U185" i="29"/>
  <c r="U184" i="29"/>
  <c r="U183" i="29"/>
  <c r="U182" i="29"/>
  <c r="U181" i="29"/>
  <c r="U180" i="29"/>
  <c r="U179" i="29"/>
  <c r="U178" i="29"/>
  <c r="U177" i="29"/>
  <c r="U176" i="29"/>
  <c r="U175" i="29"/>
  <c r="U174" i="29"/>
  <c r="U171" i="29"/>
  <c r="U170" i="29"/>
  <c r="U169" i="29"/>
  <c r="U168" i="29"/>
  <c r="U167" i="29"/>
  <c r="U165" i="29"/>
  <c r="U164" i="29"/>
  <c r="U163" i="29"/>
  <c r="U162" i="29"/>
  <c r="U161" i="29"/>
  <c r="U160" i="29"/>
  <c r="U159" i="29"/>
  <c r="U157" i="29"/>
  <c r="U156" i="29"/>
  <c r="U155" i="29"/>
  <c r="U152" i="29"/>
  <c r="U151" i="29"/>
  <c r="U150" i="29"/>
  <c r="U149" i="29"/>
  <c r="U147" i="29"/>
  <c r="U146" i="29"/>
  <c r="U144" i="29"/>
  <c r="U140" i="29"/>
  <c r="U139" i="29"/>
  <c r="U138" i="29"/>
  <c r="U137" i="29"/>
  <c r="U136" i="29"/>
  <c r="U134" i="29"/>
  <c r="U133" i="29"/>
  <c r="U132" i="29"/>
  <c r="U131" i="29"/>
  <c r="U130" i="29"/>
  <c r="U129" i="29"/>
  <c r="U128" i="29"/>
  <c r="U127" i="29"/>
  <c r="U126" i="29"/>
  <c r="U125" i="29"/>
  <c r="U124" i="29"/>
  <c r="U122" i="29"/>
  <c r="U121" i="29"/>
  <c r="U120" i="29"/>
  <c r="U119" i="29"/>
  <c r="U118" i="29"/>
  <c r="U117" i="29"/>
  <c r="U116" i="29"/>
  <c r="U115" i="29"/>
  <c r="U114" i="29"/>
  <c r="U113" i="29"/>
  <c r="U105" i="29"/>
  <c r="U102" i="29"/>
  <c r="U101" i="29"/>
  <c r="U100" i="29"/>
  <c r="U99" i="29"/>
  <c r="U98" i="29"/>
  <c r="U97" i="29"/>
  <c r="U96" i="29"/>
  <c r="U95" i="29"/>
  <c r="U94" i="29"/>
  <c r="U93" i="29"/>
  <c r="U92" i="29"/>
  <c r="U91" i="29"/>
  <c r="U90" i="29"/>
  <c r="U89" i="29"/>
  <c r="U88" i="29"/>
  <c r="U87" i="29"/>
  <c r="U84" i="29"/>
  <c r="U83" i="29"/>
  <c r="U82" i="29"/>
  <c r="U81" i="29"/>
  <c r="U80" i="29"/>
  <c r="U79" i="29"/>
  <c r="U78" i="29"/>
  <c r="U77" i="29"/>
  <c r="U76" i="29"/>
  <c r="U75" i="29"/>
  <c r="U74" i="29"/>
  <c r="U73" i="29"/>
  <c r="U72" i="29"/>
  <c r="U71" i="29"/>
  <c r="U70" i="29"/>
  <c r="U69" i="29"/>
  <c r="U68" i="29"/>
  <c r="U67" i="29"/>
  <c r="U64" i="29"/>
  <c r="U63" i="29"/>
  <c r="U62" i="29"/>
  <c r="U61" i="29"/>
  <c r="U60" i="29"/>
  <c r="U59" i="29"/>
  <c r="U58" i="29"/>
  <c r="U57" i="29"/>
  <c r="U56" i="29"/>
  <c r="U55" i="29"/>
  <c r="U54" i="29"/>
  <c r="U51" i="29"/>
  <c r="U50" i="29"/>
  <c r="U49" i="29"/>
  <c r="U48" i="29"/>
  <c r="U47" i="29"/>
  <c r="U44" i="29"/>
  <c r="U43" i="29"/>
  <c r="U42" i="29"/>
  <c r="U41" i="29"/>
  <c r="U40" i="29"/>
  <c r="U39" i="29"/>
  <c r="U38" i="29"/>
  <c r="U30" i="29"/>
  <c r="U31" i="29"/>
  <c r="U32" i="29"/>
  <c r="U33" i="29"/>
  <c r="U34" i="29"/>
  <c r="U35" i="29"/>
  <c r="S175" i="29" l="1"/>
  <c r="R175" i="29" s="1"/>
  <c r="T175" i="29"/>
  <c r="S176" i="29"/>
  <c r="R176" i="29" s="1"/>
  <c r="T176" i="29"/>
  <c r="S177" i="29"/>
  <c r="R177" i="29" s="1"/>
  <c r="T177" i="29"/>
  <c r="S178" i="29"/>
  <c r="R178" i="29" s="1"/>
  <c r="T178" i="29"/>
  <c r="S179" i="29"/>
  <c r="R179" i="29" s="1"/>
  <c r="T179" i="29"/>
  <c r="S180" i="29"/>
  <c r="R180" i="29" s="1"/>
  <c r="T180" i="29"/>
  <c r="S181" i="29"/>
  <c r="R181" i="29" s="1"/>
  <c r="T181" i="29"/>
  <c r="S182" i="29"/>
  <c r="R182" i="29" s="1"/>
  <c r="T182" i="29"/>
  <c r="S183" i="29"/>
  <c r="R183" i="29" s="1"/>
  <c r="T183" i="29"/>
  <c r="S184" i="29"/>
  <c r="R184" i="29" s="1"/>
  <c r="T184" i="29"/>
  <c r="S185" i="29"/>
  <c r="R185" i="29" s="1"/>
  <c r="T185" i="29"/>
  <c r="S186" i="29"/>
  <c r="R186" i="29" s="1"/>
  <c r="T186" i="29"/>
  <c r="S187" i="29"/>
  <c r="R187" i="29" s="1"/>
  <c r="T187" i="29"/>
  <c r="S188" i="29"/>
  <c r="R188" i="29" s="1"/>
  <c r="T188" i="29"/>
  <c r="S189" i="29"/>
  <c r="R189" i="29" s="1"/>
  <c r="T189" i="29"/>
  <c r="S190" i="29"/>
  <c r="R190" i="29" s="1"/>
  <c r="T190" i="29"/>
  <c r="S191" i="29"/>
  <c r="R191" i="29" s="1"/>
  <c r="T191" i="29"/>
  <c r="S192" i="29"/>
  <c r="R192" i="29" s="1"/>
  <c r="T192" i="29"/>
  <c r="S193" i="29"/>
  <c r="R193" i="29" s="1"/>
  <c r="T193" i="29"/>
  <c r="S194" i="29"/>
  <c r="R194" i="29" s="1"/>
  <c r="T194" i="29"/>
  <c r="S195" i="29"/>
  <c r="R195" i="29" s="1"/>
  <c r="T195" i="29"/>
  <c r="S196" i="29"/>
  <c r="R196" i="29" s="1"/>
  <c r="T196" i="29"/>
  <c r="S197" i="29"/>
  <c r="R197" i="29" s="1"/>
  <c r="T197" i="29"/>
  <c r="S198" i="29"/>
  <c r="R198" i="29" s="1"/>
  <c r="T198" i="29"/>
  <c r="S199" i="29"/>
  <c r="R199" i="29" s="1"/>
  <c r="T199" i="29"/>
  <c r="S200" i="29"/>
  <c r="R200" i="29" s="1"/>
  <c r="T200" i="29"/>
  <c r="S201" i="29"/>
  <c r="R201" i="29" s="1"/>
  <c r="T201" i="29"/>
  <c r="S202" i="29"/>
  <c r="R202" i="29" s="1"/>
  <c r="T202" i="29"/>
  <c r="S203" i="29"/>
  <c r="R203" i="29" s="1"/>
  <c r="T203" i="29"/>
  <c r="S204" i="29"/>
  <c r="R204" i="29" s="1"/>
  <c r="T204" i="29"/>
  <c r="S205" i="29"/>
  <c r="R205" i="29" s="1"/>
  <c r="T205" i="29"/>
  <c r="S206" i="29"/>
  <c r="R206" i="29" s="1"/>
  <c r="T206" i="29"/>
  <c r="S207" i="29"/>
  <c r="R207" i="29" s="1"/>
  <c r="T207" i="29"/>
  <c r="S208" i="29"/>
  <c r="R208" i="29" s="1"/>
  <c r="T208" i="29"/>
  <c r="S209" i="29"/>
  <c r="R209" i="29" s="1"/>
  <c r="T209" i="29"/>
  <c r="S210" i="29"/>
  <c r="R210" i="29" s="1"/>
  <c r="T210" i="29"/>
  <c r="S211" i="29"/>
  <c r="R211" i="29" s="1"/>
  <c r="T211" i="29"/>
  <c r="S212" i="29"/>
  <c r="R212" i="29" s="1"/>
  <c r="T212" i="29"/>
  <c r="S213" i="29"/>
  <c r="R213" i="29" s="1"/>
  <c r="T213" i="29"/>
  <c r="S214" i="29"/>
  <c r="R214" i="29" s="1"/>
  <c r="T214" i="29"/>
  <c r="S215" i="29"/>
  <c r="R215" i="29" s="1"/>
  <c r="T215" i="29"/>
  <c r="S216" i="29"/>
  <c r="R216" i="29" s="1"/>
  <c r="T216" i="29"/>
  <c r="S217" i="29"/>
  <c r="R217" i="29" s="1"/>
  <c r="T217" i="29"/>
  <c r="S218" i="29"/>
  <c r="R218" i="29" s="1"/>
  <c r="T218" i="29"/>
  <c r="S219" i="29"/>
  <c r="R219" i="29" s="1"/>
  <c r="T219" i="29"/>
  <c r="S220" i="29"/>
  <c r="R220" i="29" s="1"/>
  <c r="T220" i="29"/>
  <c r="S221" i="29"/>
  <c r="R221" i="29" s="1"/>
  <c r="T221" i="29"/>
  <c r="S222" i="29"/>
  <c r="R222" i="29" s="1"/>
  <c r="T222" i="29"/>
  <c r="S223" i="29"/>
  <c r="R223" i="29" s="1"/>
  <c r="T223" i="29"/>
  <c r="S224" i="29"/>
  <c r="R224" i="29" s="1"/>
  <c r="T224" i="29"/>
  <c r="S225" i="29"/>
  <c r="R225" i="29" s="1"/>
  <c r="T225" i="29"/>
  <c r="S226" i="29"/>
  <c r="R226" i="29" s="1"/>
  <c r="T226" i="29"/>
  <c r="S227" i="29"/>
  <c r="R227" i="29" s="1"/>
  <c r="T227" i="29"/>
  <c r="S228" i="29"/>
  <c r="R228" i="29" s="1"/>
  <c r="T228" i="29"/>
  <c r="S229" i="29"/>
  <c r="R229" i="29" s="1"/>
  <c r="T229" i="29"/>
  <c r="S230" i="29"/>
  <c r="R230" i="29" s="1"/>
  <c r="T230" i="29"/>
  <c r="S231" i="29"/>
  <c r="R231" i="29" s="1"/>
  <c r="T231" i="29"/>
  <c r="S232" i="29"/>
  <c r="R232" i="29" s="1"/>
  <c r="T232" i="29"/>
  <c r="S233" i="29"/>
  <c r="R233" i="29" s="1"/>
  <c r="T233" i="29"/>
  <c r="S234" i="29"/>
  <c r="R234" i="29" s="1"/>
  <c r="T234" i="29"/>
  <c r="S235" i="29"/>
  <c r="R235" i="29" s="1"/>
  <c r="T235" i="29"/>
  <c r="S236" i="29"/>
  <c r="R236" i="29" s="1"/>
  <c r="T236" i="29"/>
  <c r="S237" i="29"/>
  <c r="R237" i="29" s="1"/>
  <c r="T237" i="29"/>
  <c r="S238" i="29"/>
  <c r="R238" i="29" s="1"/>
  <c r="T238" i="29"/>
  <c r="S239" i="29"/>
  <c r="R239" i="29" s="1"/>
  <c r="T239" i="29"/>
  <c r="S240" i="29"/>
  <c r="R240" i="29" s="1"/>
  <c r="T240" i="29"/>
  <c r="S241" i="29"/>
  <c r="R241" i="29" s="1"/>
  <c r="T241" i="29"/>
  <c r="S242" i="29"/>
  <c r="R242" i="29" s="1"/>
  <c r="T242" i="29"/>
  <c r="S243" i="29"/>
  <c r="R243" i="29" s="1"/>
  <c r="T243" i="29"/>
  <c r="S244" i="29"/>
  <c r="R244" i="29" s="1"/>
  <c r="T244" i="29"/>
  <c r="S245" i="29"/>
  <c r="R245" i="29" s="1"/>
  <c r="T245" i="29"/>
  <c r="S246" i="29"/>
  <c r="R246" i="29" s="1"/>
  <c r="T246" i="29"/>
  <c r="S247" i="29"/>
  <c r="R247" i="29" s="1"/>
  <c r="T247" i="29"/>
  <c r="S248" i="29"/>
  <c r="R248" i="29" s="1"/>
  <c r="T248" i="29"/>
  <c r="T174" i="29"/>
  <c r="S174" i="29"/>
  <c r="R174" i="29"/>
  <c r="S144" i="29"/>
  <c r="R144" i="29" s="1"/>
  <c r="T144" i="29"/>
  <c r="R146" i="29"/>
  <c r="S146" i="29"/>
  <c r="T146" i="29"/>
  <c r="S147" i="29"/>
  <c r="R147" i="29" s="1"/>
  <c r="T147" i="29"/>
  <c r="S149" i="29"/>
  <c r="R149" i="29" s="1"/>
  <c r="T149" i="29"/>
  <c r="R150" i="29"/>
  <c r="S150" i="29"/>
  <c r="T150" i="29"/>
  <c r="S151" i="29"/>
  <c r="R151" i="29" s="1"/>
  <c r="T151" i="29"/>
  <c r="R152" i="29"/>
  <c r="S152" i="29"/>
  <c r="T152" i="29"/>
  <c r="S155" i="29"/>
  <c r="R155" i="29" s="1"/>
  <c r="T155" i="29"/>
  <c r="R156" i="29"/>
  <c r="S156" i="29"/>
  <c r="T156" i="29"/>
  <c r="S157" i="29"/>
  <c r="R157" i="29" s="1"/>
  <c r="T157" i="29"/>
  <c r="S159" i="29"/>
  <c r="R159" i="29" s="1"/>
  <c r="T159" i="29"/>
  <c r="R160" i="29"/>
  <c r="S160" i="29"/>
  <c r="T160" i="29"/>
  <c r="S161" i="29"/>
  <c r="R161" i="29" s="1"/>
  <c r="T161" i="29"/>
  <c r="R162" i="29"/>
  <c r="S162" i="29"/>
  <c r="T162" i="29"/>
  <c r="S163" i="29"/>
  <c r="R163" i="29" s="1"/>
  <c r="T163" i="29"/>
  <c r="R164" i="29"/>
  <c r="S164" i="29"/>
  <c r="T164" i="29"/>
  <c r="S165" i="29"/>
  <c r="R165" i="29" s="1"/>
  <c r="T165" i="29"/>
  <c r="S167" i="29"/>
  <c r="R167" i="29" s="1"/>
  <c r="T167" i="29"/>
  <c r="R168" i="29"/>
  <c r="S168" i="29"/>
  <c r="T168" i="29"/>
  <c r="S169" i="29"/>
  <c r="R169" i="29" s="1"/>
  <c r="T169" i="29"/>
  <c r="R170" i="29"/>
  <c r="S170" i="29"/>
  <c r="T170" i="29"/>
  <c r="S171" i="29"/>
  <c r="R171" i="29" s="1"/>
  <c r="T171" i="29"/>
  <c r="N260" i="29"/>
  <c r="V92" i="29" l="1"/>
  <c r="H106" i="29" l="1"/>
  <c r="I9" i="29" l="1"/>
  <c r="T4" i="30" l="1"/>
  <c r="S4" i="30"/>
  <c r="X23" i="30" l="1"/>
  <c r="X4" i="30" s="1"/>
  <c r="T23" i="30" l="1"/>
  <c r="S22" i="30"/>
  <c r="S5" i="30"/>
  <c r="B23" i="30" l="1"/>
  <c r="V22" i="30"/>
  <c r="F21" i="30"/>
  <c r="E21" i="30"/>
  <c r="D21" i="30"/>
  <c r="C21" i="30"/>
  <c r="S21" i="30" s="1"/>
  <c r="F20" i="30"/>
  <c r="E20" i="30"/>
  <c r="D20" i="30"/>
  <c r="C20" i="30"/>
  <c r="S20" i="30" s="1"/>
  <c r="F19" i="30"/>
  <c r="E19" i="30"/>
  <c r="D19" i="30"/>
  <c r="C19" i="30"/>
  <c r="S19" i="30" s="1"/>
  <c r="F18" i="30"/>
  <c r="E18" i="30"/>
  <c r="D18" i="30"/>
  <c r="C18" i="30"/>
  <c r="S18" i="30" s="1"/>
  <c r="F17" i="30"/>
  <c r="E17" i="30"/>
  <c r="D17" i="30"/>
  <c r="C17" i="30"/>
  <c r="S17" i="30" s="1"/>
  <c r="F16" i="30"/>
  <c r="E16" i="30"/>
  <c r="D16" i="30"/>
  <c r="C16" i="30"/>
  <c r="S16" i="30" s="1"/>
  <c r="F15" i="30"/>
  <c r="E15" i="30"/>
  <c r="D15" i="30"/>
  <c r="C15" i="30"/>
  <c r="F14" i="30"/>
  <c r="E14" i="30"/>
  <c r="D14" i="30"/>
  <c r="C14" i="30"/>
  <c r="S14" i="30" s="1"/>
  <c r="F13" i="30"/>
  <c r="E13" i="30"/>
  <c r="D13" i="30"/>
  <c r="C13" i="30"/>
  <c r="S13" i="30" s="1"/>
  <c r="F12" i="30"/>
  <c r="E12" i="30"/>
  <c r="D12" i="30"/>
  <c r="C12" i="30"/>
  <c r="S12" i="30" s="1"/>
  <c r="F11" i="30"/>
  <c r="E11" i="30"/>
  <c r="D11" i="30"/>
  <c r="C11" i="30"/>
  <c r="S11" i="30" s="1"/>
  <c r="F10" i="30"/>
  <c r="E10" i="30"/>
  <c r="D10" i="30"/>
  <c r="C10" i="30"/>
  <c r="S10" i="30" s="1"/>
  <c r="F9" i="30"/>
  <c r="E9" i="30"/>
  <c r="D9" i="30"/>
  <c r="C9" i="30"/>
  <c r="S9" i="30" s="1"/>
  <c r="F8" i="30"/>
  <c r="E8" i="30"/>
  <c r="D8" i="30"/>
  <c r="C8" i="30"/>
  <c r="S8" i="30" s="1"/>
  <c r="F7" i="30"/>
  <c r="D7" i="30"/>
  <c r="C7" i="30"/>
  <c r="F6" i="30"/>
  <c r="E6" i="30"/>
  <c r="D6" i="30"/>
  <c r="C6" i="30"/>
  <c r="S6" i="30" s="1"/>
  <c r="E5" i="30"/>
  <c r="N102" i="29"/>
  <c r="N47" i="29"/>
  <c r="N35" i="29"/>
  <c r="W255" i="29"/>
  <c r="K175" i="29"/>
  <c r="K176" i="29"/>
  <c r="K177" i="29"/>
  <c r="K178" i="29"/>
  <c r="K179" i="29"/>
  <c r="K180" i="29"/>
  <c r="K181" i="29"/>
  <c r="K182" i="29"/>
  <c r="K183" i="29"/>
  <c r="K184" i="29"/>
  <c r="K185" i="29"/>
  <c r="K186" i="29"/>
  <c r="K187" i="29"/>
  <c r="K188" i="29"/>
  <c r="K189" i="29"/>
  <c r="K190" i="29"/>
  <c r="K191" i="29"/>
  <c r="K192" i="29"/>
  <c r="K193" i="29"/>
  <c r="K194" i="29"/>
  <c r="K195" i="29"/>
  <c r="K196" i="29"/>
  <c r="K197" i="29"/>
  <c r="K198" i="29"/>
  <c r="K199" i="29"/>
  <c r="K200" i="29"/>
  <c r="K201" i="29"/>
  <c r="K202" i="29"/>
  <c r="K203" i="29"/>
  <c r="K204" i="29"/>
  <c r="K205" i="29"/>
  <c r="K206" i="29"/>
  <c r="K207" i="29"/>
  <c r="K208" i="29"/>
  <c r="K209" i="29"/>
  <c r="K210" i="29"/>
  <c r="K211" i="29"/>
  <c r="K212" i="29"/>
  <c r="K213" i="29"/>
  <c r="K214" i="29"/>
  <c r="K215" i="29"/>
  <c r="K216" i="29"/>
  <c r="K217" i="29"/>
  <c r="K218" i="29"/>
  <c r="K219" i="29"/>
  <c r="K220" i="29"/>
  <c r="K221" i="29"/>
  <c r="K222" i="29"/>
  <c r="K223" i="29"/>
  <c r="K224" i="29"/>
  <c r="K225" i="29"/>
  <c r="K226" i="29"/>
  <c r="K227" i="29"/>
  <c r="K228" i="29"/>
  <c r="K229" i="29"/>
  <c r="K230" i="29"/>
  <c r="K231" i="29"/>
  <c r="K232" i="29"/>
  <c r="K233" i="29"/>
  <c r="K234" i="29"/>
  <c r="K235" i="29"/>
  <c r="K236" i="29"/>
  <c r="K237" i="29"/>
  <c r="K238" i="29"/>
  <c r="K239" i="29"/>
  <c r="K240" i="29"/>
  <c r="K241" i="29"/>
  <c r="K242" i="29"/>
  <c r="K243" i="29"/>
  <c r="K244" i="29"/>
  <c r="K245" i="29"/>
  <c r="K246" i="29"/>
  <c r="K247" i="29"/>
  <c r="K248" i="29"/>
  <c r="K174" i="29"/>
  <c r="O145" i="29"/>
  <c r="S145" i="29" s="1"/>
  <c r="O146" i="29"/>
  <c r="P146" i="29" s="1"/>
  <c r="O158" i="29"/>
  <c r="P158" i="29" s="1"/>
  <c r="O166" i="29"/>
  <c r="P166" i="29" s="1"/>
  <c r="O167" i="29"/>
  <c r="P167" i="29" s="1"/>
  <c r="O170" i="29"/>
  <c r="P170" i="29" s="1"/>
  <c r="L144" i="29"/>
  <c r="L145" i="29"/>
  <c r="L161" i="29"/>
  <c r="L166" i="29"/>
  <c r="L167" i="29"/>
  <c r="L168" i="29"/>
  <c r="L169" i="29"/>
  <c r="L170" i="29"/>
  <c r="L171" i="29"/>
  <c r="L143" i="29"/>
  <c r="K144" i="29"/>
  <c r="K145" i="29"/>
  <c r="K146" i="29"/>
  <c r="L146" i="29" s="1"/>
  <c r="K147" i="29"/>
  <c r="L147" i="29" s="1"/>
  <c r="K148" i="29"/>
  <c r="L148" i="29" s="1"/>
  <c r="K149" i="29"/>
  <c r="L149" i="29" s="1"/>
  <c r="M149" i="29" s="1"/>
  <c r="K150" i="29"/>
  <c r="L150" i="29" s="1"/>
  <c r="K151" i="29"/>
  <c r="L151" i="29" s="1"/>
  <c r="K152" i="29"/>
  <c r="L152" i="29" s="1"/>
  <c r="K153" i="29"/>
  <c r="L153" i="29" s="1"/>
  <c r="M153" i="29" s="1"/>
  <c r="K154" i="29"/>
  <c r="L154" i="29" s="1"/>
  <c r="K155" i="29"/>
  <c r="L155" i="29" s="1"/>
  <c r="K156" i="29"/>
  <c r="K157" i="29"/>
  <c r="L157" i="29" s="1"/>
  <c r="M157" i="29" s="1"/>
  <c r="K158" i="29"/>
  <c r="K159" i="29"/>
  <c r="K160" i="29"/>
  <c r="L160" i="29" s="1"/>
  <c r="K161" i="29"/>
  <c r="K162" i="29"/>
  <c r="L162" i="29" s="1"/>
  <c r="K163" i="29"/>
  <c r="L163" i="29" s="1"/>
  <c r="K164" i="29"/>
  <c r="L164" i="29" s="1"/>
  <c r="K165" i="29"/>
  <c r="L165" i="29" s="1"/>
  <c r="M165" i="29" s="1"/>
  <c r="K166" i="29"/>
  <c r="K167" i="29"/>
  <c r="K168" i="29"/>
  <c r="K169" i="29"/>
  <c r="K170" i="29"/>
  <c r="K171" i="29"/>
  <c r="K143" i="29"/>
  <c r="W170" i="29"/>
  <c r="W167" i="29"/>
  <c r="W88" i="29"/>
  <c r="W89" i="29"/>
  <c r="W90" i="29"/>
  <c r="W91" i="29"/>
  <c r="W92" i="29"/>
  <c r="W93" i="29"/>
  <c r="W94" i="29"/>
  <c r="W95" i="29"/>
  <c r="W96" i="29"/>
  <c r="W97" i="29"/>
  <c r="W98" i="29"/>
  <c r="W99" i="29"/>
  <c r="W100" i="29"/>
  <c r="W101" i="29"/>
  <c r="W102" i="29"/>
  <c r="W68" i="29"/>
  <c r="W69" i="29"/>
  <c r="W70" i="29"/>
  <c r="W71" i="29"/>
  <c r="W72" i="29"/>
  <c r="W73" i="29"/>
  <c r="W74" i="29"/>
  <c r="W75" i="29"/>
  <c r="W76" i="29"/>
  <c r="W77" i="29"/>
  <c r="W78" i="29"/>
  <c r="W79" i="29"/>
  <c r="W80" i="29"/>
  <c r="W81" i="29"/>
  <c r="W82" i="29"/>
  <c r="W83" i="29"/>
  <c r="W84" i="29"/>
  <c r="M21" i="29"/>
  <c r="V21" i="29" s="1"/>
  <c r="L22" i="29"/>
  <c r="K22" i="29"/>
  <c r="S166" i="29" l="1"/>
  <c r="L158" i="29"/>
  <c r="T158" i="29" s="1"/>
  <c r="S158" i="29"/>
  <c r="T166" i="29"/>
  <c r="M22" i="29"/>
  <c r="V22" i="29" s="1"/>
  <c r="M169" i="29"/>
  <c r="M167" i="29"/>
  <c r="M166" i="29"/>
  <c r="M150" i="29"/>
  <c r="M171" i="29"/>
  <c r="M170" i="29"/>
  <c r="M151" i="29"/>
  <c r="L159" i="29"/>
  <c r="M159" i="29" s="1"/>
  <c r="M143" i="29"/>
  <c r="M168" i="29"/>
  <c r="M160" i="29"/>
  <c r="M152" i="29"/>
  <c r="M144" i="29"/>
  <c r="M161" i="29"/>
  <c r="M145" i="29"/>
  <c r="P145" i="29"/>
  <c r="T145" i="29" s="1"/>
  <c r="S7" i="30"/>
  <c r="S15" i="30"/>
  <c r="F23" i="30"/>
  <c r="C23" i="30"/>
  <c r="D23" i="30"/>
  <c r="E23" i="30"/>
  <c r="M163" i="29"/>
  <c r="M155" i="29"/>
  <c r="M147" i="29"/>
  <c r="M162" i="29"/>
  <c r="M154" i="29"/>
  <c r="M146" i="29"/>
  <c r="M164" i="29"/>
  <c r="M148" i="29"/>
  <c r="L156" i="29"/>
  <c r="M156" i="29" s="1"/>
  <c r="M158" i="29" l="1"/>
  <c r="S23" i="30"/>
  <c r="K9" i="29"/>
  <c r="L9" i="29" s="1"/>
  <c r="M9" i="29" l="1"/>
  <c r="I260" i="29" s="1"/>
  <c r="N106" i="29" l="1"/>
  <c r="J13" i="29"/>
  <c r="J17" i="29"/>
  <c r="O88" i="29"/>
  <c r="P88" i="29" s="1"/>
  <c r="O101" i="29"/>
  <c r="O68" i="29"/>
  <c r="O69" i="29"/>
  <c r="O70" i="29"/>
  <c r="P70" i="29" s="1"/>
  <c r="Q70" i="29" s="1"/>
  <c r="O71" i="29"/>
  <c r="P71" i="29" s="1"/>
  <c r="Q71" i="29" s="1"/>
  <c r="O72" i="29"/>
  <c r="O73" i="29"/>
  <c r="O74" i="29"/>
  <c r="O75" i="29"/>
  <c r="P75" i="29" s="1"/>
  <c r="O76" i="29"/>
  <c r="P76" i="29" s="1"/>
  <c r="Q76" i="29" s="1"/>
  <c r="O77" i="29"/>
  <c r="P77" i="29" s="1"/>
  <c r="Q77" i="29" s="1"/>
  <c r="O78" i="29"/>
  <c r="P78" i="29" s="1"/>
  <c r="Q78" i="29" s="1"/>
  <c r="O79" i="29"/>
  <c r="P79" i="29" s="1"/>
  <c r="O81" i="29"/>
  <c r="O83" i="29"/>
  <c r="O55" i="29"/>
  <c r="P55" i="29" s="1"/>
  <c r="Q55" i="29" s="1"/>
  <c r="O56" i="29"/>
  <c r="O57" i="29"/>
  <c r="O60" i="29"/>
  <c r="P60" i="29" s="1"/>
  <c r="Q60" i="29" s="1"/>
  <c r="O62" i="29"/>
  <c r="P62" i="29" s="1"/>
  <c r="Q62" i="29" s="1"/>
  <c r="O39" i="29"/>
  <c r="P39" i="29" s="1"/>
  <c r="O43" i="29"/>
  <c r="P43" i="29" s="1"/>
  <c r="Q43" i="29" s="1"/>
  <c r="O44" i="29"/>
  <c r="O30" i="29"/>
  <c r="P30" i="29" s="1"/>
  <c r="O31" i="29"/>
  <c r="P31" i="29" s="1"/>
  <c r="Q31" i="29" s="1"/>
  <c r="O32" i="29"/>
  <c r="O33" i="29"/>
  <c r="P33" i="29" s="1"/>
  <c r="Q33" i="29" s="1"/>
  <c r="O34" i="29"/>
  <c r="P34" i="29" s="1"/>
  <c r="L175" i="29"/>
  <c r="M175" i="29" s="1"/>
  <c r="L176" i="29"/>
  <c r="L177" i="29"/>
  <c r="L178" i="29"/>
  <c r="L179" i="29"/>
  <c r="L180" i="29"/>
  <c r="L181" i="29"/>
  <c r="M181" i="29" s="1"/>
  <c r="L182" i="29"/>
  <c r="M182" i="29" s="1"/>
  <c r="L183" i="29"/>
  <c r="L184" i="29"/>
  <c r="L185" i="29"/>
  <c r="L186" i="29"/>
  <c r="L187" i="29"/>
  <c r="L188" i="29"/>
  <c r="M188" i="29" s="1"/>
  <c r="L189" i="29"/>
  <c r="M189" i="29" s="1"/>
  <c r="L190" i="29"/>
  <c r="M190" i="29" s="1"/>
  <c r="L191" i="29"/>
  <c r="L192" i="29"/>
  <c r="L193" i="29"/>
  <c r="L194" i="29"/>
  <c r="L195" i="29"/>
  <c r="L196" i="29"/>
  <c r="M196" i="29" s="1"/>
  <c r="L197" i="29"/>
  <c r="M197" i="29" s="1"/>
  <c r="L198" i="29"/>
  <c r="M198" i="29" s="1"/>
  <c r="L199" i="29"/>
  <c r="L200" i="29"/>
  <c r="L201" i="29"/>
  <c r="L202" i="29"/>
  <c r="L203" i="29"/>
  <c r="L204" i="29"/>
  <c r="M204" i="29" s="1"/>
  <c r="L205" i="29"/>
  <c r="L206" i="29"/>
  <c r="M206" i="29" s="1"/>
  <c r="L207" i="29"/>
  <c r="M207" i="29" s="1"/>
  <c r="L208" i="29"/>
  <c r="L209" i="29"/>
  <c r="L210" i="29"/>
  <c r="L211" i="29"/>
  <c r="L212" i="29"/>
  <c r="M212" i="29" s="1"/>
  <c r="L213" i="29"/>
  <c r="M213" i="29" s="1"/>
  <c r="L214" i="29"/>
  <c r="M214" i="29" s="1"/>
  <c r="L215" i="29"/>
  <c r="M215" i="29" s="1"/>
  <c r="L216" i="29"/>
  <c r="L217" i="29"/>
  <c r="L218" i="29"/>
  <c r="L219" i="29"/>
  <c r="L220" i="29"/>
  <c r="M220" i="29" s="1"/>
  <c r="L221" i="29"/>
  <c r="M221" i="29" s="1"/>
  <c r="L222" i="29"/>
  <c r="M222" i="29" s="1"/>
  <c r="L223" i="29"/>
  <c r="M223" i="29" s="1"/>
  <c r="L224" i="29"/>
  <c r="L225" i="29"/>
  <c r="M225" i="29" s="1"/>
  <c r="L226" i="29"/>
  <c r="L227" i="29"/>
  <c r="L228" i="29"/>
  <c r="M228" i="29" s="1"/>
  <c r="L229" i="29"/>
  <c r="L230" i="29"/>
  <c r="M230" i="29" s="1"/>
  <c r="L231" i="29"/>
  <c r="M231" i="29" s="1"/>
  <c r="L232" i="29"/>
  <c r="L233" i="29"/>
  <c r="L234" i="29"/>
  <c r="L235" i="29"/>
  <c r="L236" i="29"/>
  <c r="M236" i="29" s="1"/>
  <c r="L237" i="29"/>
  <c r="M237" i="29" s="1"/>
  <c r="L238" i="29"/>
  <c r="M238" i="29" s="1"/>
  <c r="L239" i="29"/>
  <c r="M239" i="29" s="1"/>
  <c r="L240" i="29"/>
  <c r="L241" i="29"/>
  <c r="M241" i="29" s="1"/>
  <c r="L242" i="29"/>
  <c r="L243" i="29"/>
  <c r="L244" i="29"/>
  <c r="M244" i="29" s="1"/>
  <c r="L245" i="29"/>
  <c r="M245" i="29" s="1"/>
  <c r="L246" i="29"/>
  <c r="M246" i="29" s="1"/>
  <c r="L247" i="29"/>
  <c r="M247" i="29" s="1"/>
  <c r="L248" i="29"/>
  <c r="M208" i="29"/>
  <c r="K106" i="29"/>
  <c r="K107" i="29"/>
  <c r="K108" i="29"/>
  <c r="K109" i="29"/>
  <c r="K110" i="29"/>
  <c r="K111" i="29"/>
  <c r="K112" i="29"/>
  <c r="K113" i="29"/>
  <c r="K114" i="29"/>
  <c r="K115" i="29"/>
  <c r="K116" i="29"/>
  <c r="K117" i="29"/>
  <c r="K118" i="29"/>
  <c r="K119" i="29"/>
  <c r="K120" i="29"/>
  <c r="K121" i="29"/>
  <c r="K122" i="29"/>
  <c r="K123" i="29"/>
  <c r="K124" i="29"/>
  <c r="K125" i="29"/>
  <c r="K126" i="29"/>
  <c r="K127" i="29"/>
  <c r="K128" i="29"/>
  <c r="K129" i="29"/>
  <c r="K130" i="29"/>
  <c r="K131" i="29"/>
  <c r="K132" i="29"/>
  <c r="K133" i="29"/>
  <c r="K134" i="29"/>
  <c r="K135" i="29"/>
  <c r="K136" i="29"/>
  <c r="K137" i="29"/>
  <c r="K138" i="29"/>
  <c r="K139" i="29"/>
  <c r="K140" i="29"/>
  <c r="L88" i="29"/>
  <c r="L91" i="29"/>
  <c r="L92" i="29"/>
  <c r="L101" i="29"/>
  <c r="K88" i="29"/>
  <c r="K89" i="29"/>
  <c r="L89" i="29" s="1"/>
  <c r="K90" i="29"/>
  <c r="K91" i="29"/>
  <c r="O91" i="29" s="1"/>
  <c r="K92" i="29"/>
  <c r="K93" i="29"/>
  <c r="O93" i="29" s="1"/>
  <c r="K94" i="29"/>
  <c r="O94" i="29" s="1"/>
  <c r="K95" i="29"/>
  <c r="O95" i="29" s="1"/>
  <c r="K96" i="29"/>
  <c r="L96" i="29" s="1"/>
  <c r="K97" i="29"/>
  <c r="O97" i="29" s="1"/>
  <c r="K98" i="29"/>
  <c r="O98" i="29" s="1"/>
  <c r="K99" i="29"/>
  <c r="O99" i="29" s="1"/>
  <c r="K100" i="29"/>
  <c r="O100" i="29" s="1"/>
  <c r="K101" i="29"/>
  <c r="K102" i="29"/>
  <c r="O102" i="29" s="1"/>
  <c r="L84" i="29"/>
  <c r="K84" i="29"/>
  <c r="F257" i="29"/>
  <c r="G257" i="29"/>
  <c r="H257" i="29"/>
  <c r="I257" i="29"/>
  <c r="J257" i="29"/>
  <c r="N257" i="29"/>
  <c r="N173" i="29"/>
  <c r="J173" i="29"/>
  <c r="I173" i="29"/>
  <c r="H173" i="29"/>
  <c r="G173" i="29"/>
  <c r="F173" i="29"/>
  <c r="J142" i="29"/>
  <c r="I142" i="29"/>
  <c r="H142" i="29"/>
  <c r="G142" i="29"/>
  <c r="F142" i="29"/>
  <c r="F86" i="29"/>
  <c r="G86" i="29"/>
  <c r="H86" i="29"/>
  <c r="I86" i="29"/>
  <c r="J86" i="29"/>
  <c r="N86" i="29"/>
  <c r="F66" i="29"/>
  <c r="H66" i="29"/>
  <c r="I66" i="29"/>
  <c r="J66" i="29"/>
  <c r="N66" i="29"/>
  <c r="N250" i="29"/>
  <c r="J250" i="29"/>
  <c r="I250" i="29"/>
  <c r="H250" i="29"/>
  <c r="L255" i="29"/>
  <c r="G250" i="29"/>
  <c r="K255" i="29"/>
  <c r="O255" i="29" s="1"/>
  <c r="S255" i="29" s="1"/>
  <c r="J104" i="29" l="1"/>
  <c r="M92" i="29"/>
  <c r="M101" i="29"/>
  <c r="P255" i="29"/>
  <c r="M200" i="29"/>
  <c r="M192" i="29"/>
  <c r="M184" i="29"/>
  <c r="M176" i="29"/>
  <c r="M205" i="29"/>
  <c r="M218" i="29"/>
  <c r="M201" i="29"/>
  <c r="M185" i="29"/>
  <c r="M203" i="29"/>
  <c r="M195" i="29"/>
  <c r="M187" i="29"/>
  <c r="M179" i="29"/>
  <c r="M193" i="29"/>
  <c r="M243" i="29"/>
  <c r="M235" i="29"/>
  <c r="M227" i="29"/>
  <c r="M219" i="29"/>
  <c r="M211" i="29"/>
  <c r="M202" i="29"/>
  <c r="M194" i="29"/>
  <c r="M186" i="29"/>
  <c r="M178" i="29"/>
  <c r="M234" i="29"/>
  <c r="M226" i="29"/>
  <c r="M210" i="29"/>
  <c r="L102" i="29"/>
  <c r="M102" i="29" s="1"/>
  <c r="M84" i="29"/>
  <c r="M91" i="29"/>
  <c r="M216" i="29"/>
  <c r="M232" i="29"/>
  <c r="M248" i="29"/>
  <c r="M183" i="29"/>
  <c r="M240" i="29"/>
  <c r="M191" i="29"/>
  <c r="L94" i="29"/>
  <c r="M94" i="29" s="1"/>
  <c r="M177" i="29"/>
  <c r="M224" i="29"/>
  <c r="M199" i="29"/>
  <c r="L93" i="29"/>
  <c r="M93" i="29" s="1"/>
  <c r="M233" i="29"/>
  <c r="M217" i="29"/>
  <c r="M209" i="29"/>
  <c r="O96" i="29"/>
  <c r="P96" i="29" s="1"/>
  <c r="Q96" i="29" s="1"/>
  <c r="L99" i="29"/>
  <c r="M99" i="29" s="1"/>
  <c r="F104" i="29"/>
  <c r="L97" i="29"/>
  <c r="P97" i="29" s="1"/>
  <c r="Q97" i="29" s="1"/>
  <c r="M88" i="29"/>
  <c r="P32" i="29"/>
  <c r="Q32" i="29" s="1"/>
  <c r="P44" i="29"/>
  <c r="Q44" i="29" s="1"/>
  <c r="P101" i="29"/>
  <c r="Q101" i="29" s="1"/>
  <c r="M96" i="29"/>
  <c r="L95" i="29"/>
  <c r="P95" i="29" s="1"/>
  <c r="Q95" i="29" s="1"/>
  <c r="Q79" i="29"/>
  <c r="K173" i="29"/>
  <c r="M180" i="29"/>
  <c r="L90" i="29"/>
  <c r="M90" i="29" s="1"/>
  <c r="M89" i="29"/>
  <c r="Q39" i="29"/>
  <c r="P69" i="29"/>
  <c r="Q69" i="29" s="1"/>
  <c r="O90" i="29"/>
  <c r="P91" i="29"/>
  <c r="Q91" i="29" s="1"/>
  <c r="O84" i="29"/>
  <c r="S84" i="29" s="1"/>
  <c r="Q75" i="29"/>
  <c r="P68" i="29"/>
  <c r="Q68" i="29" s="1"/>
  <c r="O89" i="29"/>
  <c r="Q88" i="29"/>
  <c r="Q34" i="29"/>
  <c r="P57" i="29"/>
  <c r="Q57" i="29" s="1"/>
  <c r="L98" i="29"/>
  <c r="P98" i="29" s="1"/>
  <c r="Q98" i="29" s="1"/>
  <c r="Q30" i="29"/>
  <c r="P74" i="29"/>
  <c r="Q74" i="29" s="1"/>
  <c r="P83" i="29"/>
  <c r="Q83" i="29" s="1"/>
  <c r="L100" i="29"/>
  <c r="M100" i="29" s="1"/>
  <c r="P81" i="29"/>
  <c r="Q81" i="29" s="1"/>
  <c r="P73" i="29"/>
  <c r="Q73" i="29" s="1"/>
  <c r="S91" i="29"/>
  <c r="P56" i="29"/>
  <c r="Q56" i="29" s="1"/>
  <c r="P72" i="29"/>
  <c r="Q72" i="29" s="1"/>
  <c r="O92" i="29"/>
  <c r="S92" i="29" s="1"/>
  <c r="G104" i="29"/>
  <c r="M255" i="29"/>
  <c r="H104" i="29"/>
  <c r="I104" i="29"/>
  <c r="O106" i="29"/>
  <c r="S106" i="29" s="1"/>
  <c r="M98" i="29" l="1"/>
  <c r="P102" i="29"/>
  <c r="Q102" i="29" s="1"/>
  <c r="Q255" i="29"/>
  <c r="T255" i="29"/>
  <c r="P94" i="29"/>
  <c r="Q94" i="29" s="1"/>
  <c r="P100" i="29"/>
  <c r="Q100" i="29" s="1"/>
  <c r="M95" i="29"/>
  <c r="P93" i="29"/>
  <c r="Q93" i="29" s="1"/>
  <c r="M97" i="29"/>
  <c r="P99" i="29"/>
  <c r="Q99" i="29" s="1"/>
  <c r="P89" i="29"/>
  <c r="Q89" i="29" s="1"/>
  <c r="P84" i="29"/>
  <c r="P92" i="29"/>
  <c r="T92" i="29" s="1"/>
  <c r="P90" i="29"/>
  <c r="Q90" i="29" s="1"/>
  <c r="T101" i="29"/>
  <c r="G75" i="29"/>
  <c r="G66" i="29" s="1"/>
  <c r="N144" i="29"/>
  <c r="N147" i="29"/>
  <c r="N148" i="29"/>
  <c r="N149" i="29"/>
  <c r="N150" i="29"/>
  <c r="N151" i="29"/>
  <c r="N152" i="29"/>
  <c r="N153" i="29"/>
  <c r="N154" i="29"/>
  <c r="N155" i="29"/>
  <c r="N156" i="29"/>
  <c r="N157" i="29"/>
  <c r="N159" i="29"/>
  <c r="N160" i="29"/>
  <c r="N161" i="29"/>
  <c r="N162" i="29"/>
  <c r="N163" i="29"/>
  <c r="N164" i="29"/>
  <c r="N165" i="29"/>
  <c r="N168" i="29"/>
  <c r="N169" i="29"/>
  <c r="N171" i="29"/>
  <c r="N143" i="29"/>
  <c r="L107" i="29"/>
  <c r="L108" i="29"/>
  <c r="L109" i="29"/>
  <c r="L110" i="29"/>
  <c r="L111" i="29"/>
  <c r="L112" i="29"/>
  <c r="L113" i="29"/>
  <c r="L114" i="29"/>
  <c r="L115" i="29"/>
  <c r="L116" i="29"/>
  <c r="L117" i="29"/>
  <c r="L118" i="29"/>
  <c r="L119" i="29"/>
  <c r="L120" i="29"/>
  <c r="L121" i="29"/>
  <c r="L122" i="29"/>
  <c r="L123" i="29"/>
  <c r="L124" i="29"/>
  <c r="L125" i="29"/>
  <c r="L126" i="29"/>
  <c r="L127" i="29"/>
  <c r="L128" i="29"/>
  <c r="L129" i="29"/>
  <c r="L130" i="29"/>
  <c r="L131" i="29"/>
  <c r="L132" i="29"/>
  <c r="L133" i="29"/>
  <c r="L134" i="29"/>
  <c r="L135" i="29"/>
  <c r="M135" i="29" s="1"/>
  <c r="L136" i="29"/>
  <c r="L137" i="29"/>
  <c r="L138" i="29"/>
  <c r="L139" i="29"/>
  <c r="L140" i="29"/>
  <c r="N109" i="29"/>
  <c r="N110" i="29"/>
  <c r="O110" i="29" s="1"/>
  <c r="S110" i="29" s="1"/>
  <c r="N111" i="29"/>
  <c r="O111" i="29" s="1"/>
  <c r="S111" i="29" s="1"/>
  <c r="N112" i="29"/>
  <c r="O112" i="29" s="1"/>
  <c r="S112" i="29" s="1"/>
  <c r="N113" i="29"/>
  <c r="N114" i="29"/>
  <c r="O114" i="29" s="1"/>
  <c r="S114" i="29" s="1"/>
  <c r="N115" i="29"/>
  <c r="N116" i="29"/>
  <c r="O116" i="29" s="1"/>
  <c r="S116" i="29" s="1"/>
  <c r="N117" i="29"/>
  <c r="N118" i="29"/>
  <c r="N119" i="29"/>
  <c r="O119" i="29" s="1"/>
  <c r="S119" i="29" s="1"/>
  <c r="N120" i="29"/>
  <c r="O120" i="29" s="1"/>
  <c r="S120" i="29" s="1"/>
  <c r="N121" i="29"/>
  <c r="O121" i="29" s="1"/>
  <c r="S121" i="29" s="1"/>
  <c r="N122" i="29"/>
  <c r="O122" i="29" s="1"/>
  <c r="S122" i="29" s="1"/>
  <c r="N123" i="29"/>
  <c r="O123" i="29" s="1"/>
  <c r="S123" i="29" s="1"/>
  <c r="N124" i="29"/>
  <c r="N125" i="29"/>
  <c r="O125" i="29" s="1"/>
  <c r="S125" i="29" s="1"/>
  <c r="N126" i="29"/>
  <c r="N127" i="29"/>
  <c r="O127" i="29" s="1"/>
  <c r="S127" i="29" s="1"/>
  <c r="N128" i="29"/>
  <c r="O128" i="29" s="1"/>
  <c r="S128" i="29" s="1"/>
  <c r="N129" i="29"/>
  <c r="O129" i="29" s="1"/>
  <c r="S129" i="29" s="1"/>
  <c r="N130" i="29"/>
  <c r="N131" i="29"/>
  <c r="O131" i="29" s="1"/>
  <c r="S131" i="29" s="1"/>
  <c r="N132" i="29"/>
  <c r="N133" i="29"/>
  <c r="O133" i="29" s="1"/>
  <c r="S133" i="29" s="1"/>
  <c r="N134" i="29"/>
  <c r="O134" i="29" s="1"/>
  <c r="S134" i="29" s="1"/>
  <c r="N135" i="29"/>
  <c r="O135" i="29" s="1"/>
  <c r="S135" i="29" s="1"/>
  <c r="N136" i="29"/>
  <c r="O136" i="29" s="1"/>
  <c r="S136" i="29" s="1"/>
  <c r="N137" i="29"/>
  <c r="O137" i="29" s="1"/>
  <c r="S137" i="29" s="1"/>
  <c r="N138" i="29"/>
  <c r="O138" i="29" s="1"/>
  <c r="S138" i="29" s="1"/>
  <c r="N139" i="29"/>
  <c r="N140" i="29"/>
  <c r="N107" i="29"/>
  <c r="W106" i="29"/>
  <c r="W135" i="29" l="1"/>
  <c r="R255" i="29"/>
  <c r="V255" i="29"/>
  <c r="M115" i="29"/>
  <c r="O144" i="29"/>
  <c r="P144" i="29" s="1"/>
  <c r="O169" i="29"/>
  <c r="P169" i="29" s="1"/>
  <c r="W169" i="29"/>
  <c r="O159" i="29"/>
  <c r="P159" i="29" s="1"/>
  <c r="O150" i="29"/>
  <c r="P150" i="29" s="1"/>
  <c r="O162" i="29"/>
  <c r="P162" i="29" s="1"/>
  <c r="O153" i="29"/>
  <c r="S153" i="29" s="1"/>
  <c r="O143" i="29"/>
  <c r="S143" i="29" s="1"/>
  <c r="O152" i="29"/>
  <c r="P152" i="29" s="1"/>
  <c r="O160" i="29"/>
  <c r="P160" i="29" s="1"/>
  <c r="O151" i="29"/>
  <c r="P151" i="29" s="1"/>
  <c r="O157" i="29"/>
  <c r="P157" i="29" s="1"/>
  <c r="O149" i="29"/>
  <c r="P149" i="29" s="1"/>
  <c r="O161" i="29"/>
  <c r="P161" i="29" s="1"/>
  <c r="O165" i="29"/>
  <c r="P165" i="29" s="1"/>
  <c r="O156" i="29"/>
  <c r="P156" i="29" s="1"/>
  <c r="O148" i="29"/>
  <c r="O163" i="29"/>
  <c r="P163" i="29" s="1"/>
  <c r="O154" i="29"/>
  <c r="M113" i="29"/>
  <c r="O171" i="29"/>
  <c r="P171" i="29"/>
  <c r="W171" i="29"/>
  <c r="W134" i="29"/>
  <c r="W168" i="29"/>
  <c r="O168" i="29"/>
  <c r="P168" i="29" s="1"/>
  <c r="O164" i="29"/>
  <c r="P164" i="29"/>
  <c r="O155" i="29"/>
  <c r="P155" i="29"/>
  <c r="O147" i="29"/>
  <c r="P147" i="29" s="1"/>
  <c r="W111" i="29"/>
  <c r="Q84" i="29"/>
  <c r="T84" i="29"/>
  <c r="Q92" i="29"/>
  <c r="R92" i="29" s="1"/>
  <c r="W110" i="29"/>
  <c r="N142" i="29"/>
  <c r="N104" i="29" s="1"/>
  <c r="W119" i="29"/>
  <c r="P135" i="29"/>
  <c r="Q135" i="29" s="1"/>
  <c r="U135" i="29" s="1"/>
  <c r="P127" i="29"/>
  <c r="Q127" i="29" s="1"/>
  <c r="P111" i="29"/>
  <c r="Q111" i="29" s="1"/>
  <c r="P134" i="29"/>
  <c r="Q134" i="29" s="1"/>
  <c r="W133" i="29"/>
  <c r="W125" i="29"/>
  <c r="W130" i="29"/>
  <c r="O130" i="29"/>
  <c r="P116" i="29"/>
  <c r="Q116" i="29" s="1"/>
  <c r="W132" i="29"/>
  <c r="O132" i="29"/>
  <c r="W124" i="29"/>
  <c r="O124" i="29"/>
  <c r="O108" i="29"/>
  <c r="S108" i="29" s="1"/>
  <c r="P123" i="29"/>
  <c r="Q123" i="29" s="1"/>
  <c r="W139" i="29"/>
  <c r="O139" i="29"/>
  <c r="S139" i="29" s="1"/>
  <c r="W115" i="29"/>
  <c r="O115" i="29"/>
  <c r="W140" i="29"/>
  <c r="O140" i="29"/>
  <c r="S140" i="29" s="1"/>
  <c r="W113" i="29"/>
  <c r="O113" i="29"/>
  <c r="W116" i="29"/>
  <c r="W126" i="29"/>
  <c r="O126" i="29"/>
  <c r="O118" i="29"/>
  <c r="W107" i="29"/>
  <c r="O107" i="29"/>
  <c r="W117" i="29"/>
  <c r="O117" i="29"/>
  <c r="O109" i="29"/>
  <c r="S109" i="29" s="1"/>
  <c r="P136" i="29"/>
  <c r="Q136" i="29" s="1"/>
  <c r="P128" i="29"/>
  <c r="Q128" i="29" s="1"/>
  <c r="P112" i="29"/>
  <c r="Q112" i="29" s="1"/>
  <c r="M117" i="29"/>
  <c r="M138" i="29"/>
  <c r="P138" i="29"/>
  <c r="Q138" i="29" s="1"/>
  <c r="M130" i="29"/>
  <c r="M122" i="29"/>
  <c r="P122" i="29"/>
  <c r="Q122" i="29" s="1"/>
  <c r="M114" i="29"/>
  <c r="P114" i="29"/>
  <c r="Q114" i="29" s="1"/>
  <c r="M136" i="29"/>
  <c r="M133" i="29"/>
  <c r="P133" i="29"/>
  <c r="Q133" i="29" s="1"/>
  <c r="M139" i="29"/>
  <c r="M131" i="29"/>
  <c r="P131" i="29"/>
  <c r="Q131" i="29" s="1"/>
  <c r="M137" i="29"/>
  <c r="P137" i="29"/>
  <c r="Q137" i="29" s="1"/>
  <c r="M129" i="29"/>
  <c r="P129" i="29"/>
  <c r="Q129" i="29" s="1"/>
  <c r="M121" i="29"/>
  <c r="P121" i="29"/>
  <c r="Q121" i="29" s="1"/>
  <c r="V121" i="29" s="1"/>
  <c r="M125" i="29"/>
  <c r="P125" i="29"/>
  <c r="Q125" i="29" s="1"/>
  <c r="M120" i="29"/>
  <c r="P120" i="29"/>
  <c r="Q120" i="29" s="1"/>
  <c r="M127" i="29"/>
  <c r="M109" i="29"/>
  <c r="M119" i="29"/>
  <c r="P119" i="29"/>
  <c r="Q119" i="29" s="1"/>
  <c r="M132" i="29"/>
  <c r="M123" i="29"/>
  <c r="M118" i="29"/>
  <c r="M110" i="29"/>
  <c r="P110" i="29"/>
  <c r="Q110" i="29" s="1"/>
  <c r="W118" i="29"/>
  <c r="W114" i="29"/>
  <c r="S101" i="29"/>
  <c r="M112" i="29"/>
  <c r="M111" i="29"/>
  <c r="M108" i="29"/>
  <c r="W108" i="29"/>
  <c r="M134" i="29"/>
  <c r="M128" i="29"/>
  <c r="M126" i="29"/>
  <c r="M116" i="29"/>
  <c r="W127" i="29"/>
  <c r="M140" i="29"/>
  <c r="M124" i="29"/>
  <c r="M107" i="29"/>
  <c r="W131" i="29"/>
  <c r="W138" i="29"/>
  <c r="W122" i="29"/>
  <c r="W137" i="29"/>
  <c r="W129" i="29"/>
  <c r="W121" i="29"/>
  <c r="W112" i="29"/>
  <c r="W109" i="29"/>
  <c r="W136" i="29"/>
  <c r="W128" i="29"/>
  <c r="W120" i="29"/>
  <c r="W123" i="29"/>
  <c r="U123" i="29" l="1"/>
  <c r="U111" i="29"/>
  <c r="U110" i="29"/>
  <c r="U112" i="29"/>
  <c r="P154" i="29"/>
  <c r="T154" i="29" s="1"/>
  <c r="S154" i="29"/>
  <c r="P153" i="29"/>
  <c r="T153" i="29" s="1"/>
  <c r="P148" i="29"/>
  <c r="T148" i="29" s="1"/>
  <c r="S148" i="29"/>
  <c r="P143" i="29"/>
  <c r="T143" i="29" s="1"/>
  <c r="T114" i="29"/>
  <c r="T120" i="29"/>
  <c r="T136" i="29"/>
  <c r="T122" i="29"/>
  <c r="V84" i="29"/>
  <c r="R84" i="29"/>
  <c r="T125" i="29"/>
  <c r="T137" i="29"/>
  <c r="T133" i="29"/>
  <c r="T123" i="29"/>
  <c r="T119" i="29"/>
  <c r="P118" i="29"/>
  <c r="T118" i="29" s="1"/>
  <c r="S118" i="29"/>
  <c r="P115" i="29"/>
  <c r="S115" i="29"/>
  <c r="P132" i="29"/>
  <c r="T132" i="29" s="1"/>
  <c r="S132" i="29"/>
  <c r="T116" i="29"/>
  <c r="T127" i="29"/>
  <c r="P113" i="29"/>
  <c r="S113" i="29"/>
  <c r="T138" i="29"/>
  <c r="P107" i="29"/>
  <c r="S107" i="29"/>
  <c r="T135" i="29"/>
  <c r="T134" i="29"/>
  <c r="R134" i="29" s="1"/>
  <c r="T129" i="29"/>
  <c r="T128" i="29"/>
  <c r="T131" i="29"/>
  <c r="P117" i="29"/>
  <c r="T117" i="29" s="1"/>
  <c r="S117" i="29"/>
  <c r="P124" i="29"/>
  <c r="S124" i="29"/>
  <c r="P126" i="29"/>
  <c r="T126" i="29" s="1"/>
  <c r="S126" i="29"/>
  <c r="P130" i="29"/>
  <c r="S130" i="29"/>
  <c r="T121" i="29"/>
  <c r="Q160" i="29"/>
  <c r="Q164" i="29"/>
  <c r="Q158" i="29"/>
  <c r="U158" i="29" s="1"/>
  <c r="R158" i="29" s="1"/>
  <c r="Q159" i="29"/>
  <c r="Q166" i="29"/>
  <c r="U166" i="29" s="1"/>
  <c r="R166" i="29" s="1"/>
  <c r="Q157" i="29"/>
  <c r="Q163" i="29"/>
  <c r="Q145" i="29"/>
  <c r="Q150" i="29"/>
  <c r="Q156" i="29"/>
  <c r="Q161" i="29"/>
  <c r="Q152" i="29"/>
  <c r="Q149" i="29"/>
  <c r="Q151" i="29"/>
  <c r="T112" i="29"/>
  <c r="T111" i="29"/>
  <c r="T110" i="29"/>
  <c r="Q165" i="29"/>
  <c r="Q167" i="29"/>
  <c r="V167" i="29" s="1"/>
  <c r="Q169" i="29"/>
  <c r="Q144" i="29"/>
  <c r="V116" i="29"/>
  <c r="Q154" i="29"/>
  <c r="U154" i="29" s="1"/>
  <c r="P108" i="29"/>
  <c r="T108" i="29" s="1"/>
  <c r="Q162" i="29"/>
  <c r="Q147" i="29"/>
  <c r="Q146" i="29"/>
  <c r="Q155" i="29"/>
  <c r="P139" i="29"/>
  <c r="P109" i="29"/>
  <c r="T109" i="29" s="1"/>
  <c r="P140" i="29"/>
  <c r="V133" i="29"/>
  <c r="R101" i="29"/>
  <c r="V101" i="29"/>
  <c r="V138" i="29"/>
  <c r="V134" i="29"/>
  <c r="T100" i="29"/>
  <c r="S100" i="29"/>
  <c r="V137" i="29"/>
  <c r="V129" i="29"/>
  <c r="V119" i="29"/>
  <c r="Q153" i="29" l="1"/>
  <c r="U153" i="29" s="1"/>
  <c r="R153" i="29" s="1"/>
  <c r="Q148" i="29"/>
  <c r="U148" i="29" s="1"/>
  <c r="U145" i="29"/>
  <c r="R145" i="29" s="1"/>
  <c r="R154" i="29"/>
  <c r="R148" i="29"/>
  <c r="R111" i="29"/>
  <c r="R119" i="29"/>
  <c r="Q118" i="29"/>
  <c r="R118" i="29" s="1"/>
  <c r="Q126" i="29"/>
  <c r="R126" i="29" s="1"/>
  <c r="R127" i="29"/>
  <c r="Q132" i="29"/>
  <c r="Q117" i="29"/>
  <c r="Q140" i="29"/>
  <c r="T140" i="29"/>
  <c r="Q139" i="29"/>
  <c r="T139" i="29"/>
  <c r="Q107" i="29"/>
  <c r="U107" i="29" s="1"/>
  <c r="T107" i="29"/>
  <c r="Q115" i="29"/>
  <c r="T115" i="29"/>
  <c r="Q113" i="29"/>
  <c r="T113" i="29"/>
  <c r="Q124" i="29"/>
  <c r="T124" i="29"/>
  <c r="R124" i="29" s="1"/>
  <c r="Q130" i="29"/>
  <c r="T130" i="29"/>
  <c r="Q170" i="29"/>
  <c r="V170" i="29" s="1"/>
  <c r="V169" i="29"/>
  <c r="Q171" i="29"/>
  <c r="Q108" i="29"/>
  <c r="U108" i="29" s="1"/>
  <c r="Q168" i="29"/>
  <c r="R110" i="29"/>
  <c r="R135" i="29"/>
  <c r="R133" i="29"/>
  <c r="R116" i="29"/>
  <c r="R125" i="29"/>
  <c r="Q109" i="29"/>
  <c r="U109" i="29" s="1"/>
  <c r="R138" i="29"/>
  <c r="V136" i="29"/>
  <c r="R136" i="29"/>
  <c r="V125" i="29"/>
  <c r="R121" i="29"/>
  <c r="V135" i="29"/>
  <c r="R137" i="29"/>
  <c r="R112" i="29"/>
  <c r="R128" i="29"/>
  <c r="V128" i="29"/>
  <c r="V127" i="29"/>
  <c r="V112" i="29"/>
  <c r="R120" i="29"/>
  <c r="R122" i="29"/>
  <c r="V122" i="29"/>
  <c r="V118" i="29"/>
  <c r="R129" i="29"/>
  <c r="V120" i="29"/>
  <c r="V126" i="29"/>
  <c r="V131" i="29"/>
  <c r="R131" i="29"/>
  <c r="V110" i="29"/>
  <c r="V111" i="29"/>
  <c r="V140" i="29" l="1"/>
  <c r="V132" i="29"/>
  <c r="R132" i="29"/>
  <c r="V115" i="29"/>
  <c r="R115" i="29"/>
  <c r="V117" i="29"/>
  <c r="R117" i="29"/>
  <c r="R107" i="29"/>
  <c r="V107" i="29"/>
  <c r="V124" i="29"/>
  <c r="V171" i="29"/>
  <c r="R108" i="29"/>
  <c r="V108" i="29"/>
  <c r="V168" i="29"/>
  <c r="R109" i="29"/>
  <c r="R140" i="29"/>
  <c r="V109" i="29"/>
  <c r="V100" i="29"/>
  <c r="R100" i="29"/>
  <c r="R139" i="29"/>
  <c r="V139" i="29"/>
  <c r="R123" i="29"/>
  <c r="V123" i="29"/>
  <c r="V114" i="29"/>
  <c r="R114" i="29"/>
  <c r="R130" i="29"/>
  <c r="V130" i="29"/>
  <c r="E66" i="29" l="1"/>
  <c r="F250" i="29"/>
  <c r="E250" i="29"/>
  <c r="E142" i="29"/>
  <c r="L21" i="29" l="1"/>
  <c r="E23" i="29" l="1"/>
  <c r="Y15" i="29" l="1"/>
  <c r="W8" i="29"/>
  <c r="W9" i="29"/>
  <c r="W10" i="29"/>
  <c r="W11" i="29"/>
  <c r="W12" i="29"/>
  <c r="W13" i="29"/>
  <c r="W14" i="29"/>
  <c r="W15" i="29"/>
  <c r="W16" i="29"/>
  <c r="W17" i="29"/>
  <c r="W18" i="29"/>
  <c r="W19" i="29"/>
  <c r="W20" i="29"/>
  <c r="W22" i="29"/>
  <c r="K21" i="29"/>
  <c r="F23" i="29" l="1"/>
  <c r="G23" i="29"/>
  <c r="H23" i="29"/>
  <c r="O23" i="29"/>
  <c r="P23" i="29"/>
  <c r="W7" i="29" l="1"/>
  <c r="V23" i="24" l="1"/>
  <c r="V4" i="24" s="1"/>
  <c r="W261" i="29" l="1"/>
  <c r="W258" i="29"/>
  <c r="W254" i="29"/>
  <c r="W253" i="29"/>
  <c r="W252" i="29"/>
  <c r="W248" i="29"/>
  <c r="W247" i="29"/>
  <c r="W246" i="29"/>
  <c r="W245" i="29"/>
  <c r="W244" i="29"/>
  <c r="W243" i="29"/>
  <c r="W242" i="29"/>
  <c r="W241" i="29"/>
  <c r="W240" i="29"/>
  <c r="W239" i="29"/>
  <c r="W238" i="29"/>
  <c r="W237" i="29"/>
  <c r="W236" i="29"/>
  <c r="W235" i="29"/>
  <c r="W234" i="29"/>
  <c r="W233" i="29"/>
  <c r="W232" i="29"/>
  <c r="W231" i="29"/>
  <c r="W230" i="29"/>
  <c r="W229" i="29"/>
  <c r="W228" i="29"/>
  <c r="W227" i="29"/>
  <c r="W226" i="29"/>
  <c r="W225" i="29"/>
  <c r="W224" i="29"/>
  <c r="W223" i="29"/>
  <c r="W222" i="29"/>
  <c r="W221" i="29"/>
  <c r="W220" i="29"/>
  <c r="W219" i="29"/>
  <c r="W218" i="29"/>
  <c r="W217" i="29"/>
  <c r="W215" i="29"/>
  <c r="W214" i="29"/>
  <c r="W213" i="29"/>
  <c r="W212" i="29"/>
  <c r="W211" i="29"/>
  <c r="W210" i="29"/>
  <c r="W209" i="29"/>
  <c r="W208" i="29"/>
  <c r="W207" i="29"/>
  <c r="W206" i="29"/>
  <c r="W205" i="29"/>
  <c r="W204" i="29"/>
  <c r="W203" i="29"/>
  <c r="W202" i="29"/>
  <c r="W201" i="29"/>
  <c r="W200" i="29"/>
  <c r="W199" i="29"/>
  <c r="W198" i="29"/>
  <c r="W197" i="29"/>
  <c r="W196" i="29"/>
  <c r="W195" i="29"/>
  <c r="W194" i="29"/>
  <c r="W193" i="29"/>
  <c r="W192" i="29"/>
  <c r="W191" i="29"/>
  <c r="W190" i="29"/>
  <c r="W189" i="29"/>
  <c r="W188" i="29"/>
  <c r="W187" i="29"/>
  <c r="W186" i="29"/>
  <c r="W185" i="29"/>
  <c r="W184" i="29"/>
  <c r="W183" i="29"/>
  <c r="W182" i="29"/>
  <c r="W181" i="29"/>
  <c r="W180" i="29"/>
  <c r="W179" i="29"/>
  <c r="W178" i="29"/>
  <c r="W177" i="29"/>
  <c r="W176" i="29"/>
  <c r="W175" i="29"/>
  <c r="W174" i="29"/>
  <c r="W166" i="29"/>
  <c r="W165" i="29"/>
  <c r="W164" i="29"/>
  <c r="W163" i="29"/>
  <c r="W162" i="29"/>
  <c r="W161" i="29"/>
  <c r="W160" i="29"/>
  <c r="W159" i="29"/>
  <c r="W158" i="29"/>
  <c r="W157" i="29"/>
  <c r="W156" i="29"/>
  <c r="W155" i="29"/>
  <c r="W154" i="29"/>
  <c r="W153" i="29"/>
  <c r="W152" i="29"/>
  <c r="W151" i="29"/>
  <c r="W150" i="29"/>
  <c r="W149" i="29"/>
  <c r="W148" i="29"/>
  <c r="W147" i="29"/>
  <c r="W146" i="29"/>
  <c r="W145" i="29"/>
  <c r="W144" i="29"/>
  <c r="W143" i="29"/>
  <c r="W105" i="29"/>
  <c r="W87" i="29"/>
  <c r="W251" i="29"/>
  <c r="W67" i="29"/>
  <c r="W64" i="29"/>
  <c r="W63" i="29"/>
  <c r="W62" i="29"/>
  <c r="W61" i="29"/>
  <c r="W60" i="29"/>
  <c r="W59" i="29"/>
  <c r="W58" i="29"/>
  <c r="W57" i="29"/>
  <c r="W56" i="29"/>
  <c r="W55" i="29"/>
  <c r="W54" i="29"/>
  <c r="W51" i="29"/>
  <c r="W50" i="29"/>
  <c r="W49" i="29"/>
  <c r="W48" i="29"/>
  <c r="W47" i="29"/>
  <c r="W44" i="29"/>
  <c r="W43" i="29"/>
  <c r="W42" i="29"/>
  <c r="W41" i="29"/>
  <c r="W40" i="29"/>
  <c r="W39" i="29"/>
  <c r="W38" i="29"/>
  <c r="W30" i="29"/>
  <c r="W31" i="29"/>
  <c r="W32" i="29"/>
  <c r="W33" i="29"/>
  <c r="W34" i="29"/>
  <c r="W35" i="29"/>
  <c r="W29" i="29"/>
  <c r="W250" i="29" l="1"/>
  <c r="W142" i="29"/>
  <c r="W66" i="29"/>
  <c r="W37" i="29"/>
  <c r="W46" i="29"/>
  <c r="W86" i="29"/>
  <c r="W53" i="29"/>
  <c r="W278" i="29" s="1"/>
  <c r="W28" i="29"/>
  <c r="W277" i="29" l="1"/>
  <c r="W269" i="29"/>
  <c r="Q8" i="29" l="1"/>
  <c r="Q9" i="29"/>
  <c r="V9" i="29" s="1"/>
  <c r="Q10" i="29"/>
  <c r="Q11" i="29"/>
  <c r="Q12" i="29"/>
  <c r="Q13" i="29"/>
  <c r="Q14" i="29"/>
  <c r="Q15" i="29"/>
  <c r="Q16" i="29"/>
  <c r="Q17" i="29"/>
  <c r="Q18" i="29"/>
  <c r="Q19" i="29"/>
  <c r="Q20" i="29"/>
  <c r="Q23" i="29" l="1"/>
  <c r="E173" i="29" l="1"/>
  <c r="E104" i="29" s="1"/>
  <c r="F266" i="29" l="1"/>
  <c r="F268" i="29" s="1"/>
  <c r="L20" i="29"/>
  <c r="L19" i="29"/>
  <c r="L17" i="29"/>
  <c r="L16" i="29"/>
  <c r="L13" i="29"/>
  <c r="L12" i="29"/>
  <c r="L11" i="29"/>
  <c r="L10" i="29"/>
  <c r="L8" i="29"/>
  <c r="L7" i="29"/>
  <c r="K20" i="29"/>
  <c r="K19" i="29"/>
  <c r="K18" i="29"/>
  <c r="L18" i="29" s="1"/>
  <c r="K17" i="29"/>
  <c r="K16" i="29"/>
  <c r="K15" i="29"/>
  <c r="K14" i="29"/>
  <c r="K13" i="29"/>
  <c r="K12" i="29"/>
  <c r="K11" i="29"/>
  <c r="K10" i="29"/>
  <c r="K8" i="29"/>
  <c r="K7" i="29"/>
  <c r="M11" i="29" l="1"/>
  <c r="V11" i="29" s="1"/>
  <c r="M12" i="29"/>
  <c r="V12" i="29" s="1"/>
  <c r="L14" i="29"/>
  <c r="M14" i="29" s="1"/>
  <c r="V14" i="29" s="1"/>
  <c r="M13" i="29"/>
  <c r="V13" i="29" s="1"/>
  <c r="L15" i="29"/>
  <c r="M15" i="29"/>
  <c r="V15" i="29" s="1"/>
  <c r="M7" i="29"/>
  <c r="V7" i="29" s="1"/>
  <c r="M16" i="29"/>
  <c r="V16" i="29" s="1"/>
  <c r="M8" i="29"/>
  <c r="V8" i="29" s="1"/>
  <c r="M17" i="29"/>
  <c r="V17" i="29" s="1"/>
  <c r="M10" i="29"/>
  <c r="V10" i="29" s="1"/>
  <c r="M18" i="29"/>
  <c r="V18" i="29" s="1"/>
  <c r="M19" i="29"/>
  <c r="V19" i="29" s="1"/>
  <c r="M20" i="29"/>
  <c r="V20" i="29" s="1"/>
  <c r="K23" i="29"/>
  <c r="V182" i="29"/>
  <c r="U4" i="24"/>
  <c r="U4" i="30" l="1"/>
  <c r="V239" i="29"/>
  <c r="L23" i="29"/>
  <c r="W216" i="29"/>
  <c r="W173" i="29" s="1"/>
  <c r="W104" i="29" s="1"/>
  <c r="T4" i="24"/>
  <c r="I23" i="29"/>
  <c r="U22" i="30" l="1"/>
  <c r="U7" i="30"/>
  <c r="U11" i="30"/>
  <c r="U10" i="30"/>
  <c r="U6" i="30"/>
  <c r="U9" i="30"/>
  <c r="U15" i="30"/>
  <c r="U16" i="30"/>
  <c r="U18" i="30"/>
  <c r="U19" i="30"/>
  <c r="U13" i="30"/>
  <c r="U12" i="30"/>
  <c r="U5" i="30"/>
  <c r="U21" i="30"/>
  <c r="U17" i="30"/>
  <c r="U8" i="30"/>
  <c r="U14" i="30"/>
  <c r="U20" i="30"/>
  <c r="U23" i="24"/>
  <c r="O266" i="29"/>
  <c r="O268" i="29" s="1"/>
  <c r="P266" i="29"/>
  <c r="P268" i="29" s="1"/>
  <c r="O67" i="29"/>
  <c r="O50" i="29"/>
  <c r="O29" i="29"/>
  <c r="P29" i="29" s="1"/>
  <c r="U23" i="30" l="1"/>
  <c r="P67" i="29"/>
  <c r="Q67" i="29" s="1"/>
  <c r="P50" i="29"/>
  <c r="Q50" i="29" s="1"/>
  <c r="Q29" i="29"/>
  <c r="K261" i="29"/>
  <c r="K260" i="29"/>
  <c r="K259" i="29"/>
  <c r="L258" i="29"/>
  <c r="K258" i="29"/>
  <c r="K253" i="29"/>
  <c r="O253" i="29" s="1"/>
  <c r="L253" i="29"/>
  <c r="K254" i="29"/>
  <c r="O254" i="29" s="1"/>
  <c r="K252" i="29"/>
  <c r="O252" i="29" s="1"/>
  <c r="L261" i="29" l="1"/>
  <c r="M261" i="29" s="1"/>
  <c r="O261" i="29"/>
  <c r="L259" i="29"/>
  <c r="M259" i="29" s="1"/>
  <c r="O259" i="29"/>
  <c r="P259" i="29" s="1"/>
  <c r="L260" i="29"/>
  <c r="O260" i="29"/>
  <c r="P260" i="29" s="1"/>
  <c r="K257" i="29"/>
  <c r="L252" i="29"/>
  <c r="M252" i="29" s="1"/>
  <c r="O258" i="29"/>
  <c r="P253" i="29"/>
  <c r="Q253" i="29" s="1"/>
  <c r="S252" i="29"/>
  <c r="L254" i="29"/>
  <c r="P254" i="29" s="1"/>
  <c r="Q254" i="29" s="1"/>
  <c r="S254" i="29"/>
  <c r="M253" i="29"/>
  <c r="S253" i="29"/>
  <c r="M258" i="29"/>
  <c r="P261" i="29" l="1"/>
  <c r="Q261" i="29" s="1"/>
  <c r="Q260" i="29"/>
  <c r="M260" i="29"/>
  <c r="M257" i="29" s="1"/>
  <c r="L257" i="29"/>
  <c r="P252" i="29"/>
  <c r="Q252" i="29" s="1"/>
  <c r="V252" i="29" s="1"/>
  <c r="P258" i="29"/>
  <c r="S258" i="29"/>
  <c r="V253" i="29"/>
  <c r="T253" i="29"/>
  <c r="M254" i="29"/>
  <c r="V254" i="29" s="1"/>
  <c r="T254" i="29"/>
  <c r="S261" i="29"/>
  <c r="V261" i="29" l="1"/>
  <c r="O4" i="30"/>
  <c r="T258" i="29"/>
  <c r="O4" i="24"/>
  <c r="O5" i="24" s="1"/>
  <c r="N4" i="24"/>
  <c r="R253" i="29"/>
  <c r="Q258" i="29"/>
  <c r="W259" i="29"/>
  <c r="W260" i="29"/>
  <c r="S260" i="29"/>
  <c r="T261" i="29"/>
  <c r="R261" i="29" s="1"/>
  <c r="T252" i="29"/>
  <c r="R254" i="29"/>
  <c r="O21" i="30" l="1"/>
  <c r="V21" i="30" s="1"/>
  <c r="V4" i="30"/>
  <c r="O13" i="30"/>
  <c r="V13" i="30" s="1"/>
  <c r="O16" i="30"/>
  <c r="V16" i="30" s="1"/>
  <c r="O15" i="30"/>
  <c r="V15" i="30" s="1"/>
  <c r="O5" i="30"/>
  <c r="O17" i="30"/>
  <c r="V17" i="30" s="1"/>
  <c r="O10" i="30"/>
  <c r="V10" i="30" s="1"/>
  <c r="O12" i="30"/>
  <c r="V12" i="30" s="1"/>
  <c r="O18" i="30"/>
  <c r="V18" i="30" s="1"/>
  <c r="O11" i="30"/>
  <c r="V11" i="30" s="1"/>
  <c r="O6" i="30"/>
  <c r="V6" i="30" s="1"/>
  <c r="O14" i="30"/>
  <c r="V14" i="30" s="1"/>
  <c r="O20" i="30"/>
  <c r="V20" i="30" s="1"/>
  <c r="O7" i="30"/>
  <c r="V7" i="30" s="1"/>
  <c r="O19" i="30"/>
  <c r="V19" i="30" s="1"/>
  <c r="O8" i="30"/>
  <c r="V8" i="30" s="1"/>
  <c r="O9" i="30"/>
  <c r="V9" i="30" s="1"/>
  <c r="W257" i="29"/>
  <c r="W263" i="29" s="1"/>
  <c r="O257" i="29"/>
  <c r="R252" i="29"/>
  <c r="S259" i="29"/>
  <c r="S257" i="29" s="1"/>
  <c r="V258" i="29"/>
  <c r="R258" i="29"/>
  <c r="N53" i="29"/>
  <c r="N278" i="29" s="1"/>
  <c r="N46" i="29"/>
  <c r="N28" i="29"/>
  <c r="N37" i="29"/>
  <c r="W270" i="29" l="1"/>
  <c r="W271" i="29" s="1"/>
  <c r="W282" i="29"/>
  <c r="V23" i="30"/>
  <c r="S24" i="30" s="1"/>
  <c r="O23" i="30"/>
  <c r="O24" i="30" s="1"/>
  <c r="P257" i="29"/>
  <c r="N277" i="29"/>
  <c r="N263" i="29"/>
  <c r="N282" i="29" s="1"/>
  <c r="N269" i="29"/>
  <c r="Q259" i="29"/>
  <c r="T259" i="29"/>
  <c r="E86" i="29"/>
  <c r="Q257" i="29" l="1"/>
  <c r="T257" i="29"/>
  <c r="N270" i="29"/>
  <c r="N271" i="29" s="1"/>
  <c r="V166" i="29"/>
  <c r="V259" i="29"/>
  <c r="V260" i="29"/>
  <c r="P4" i="30" s="1"/>
  <c r="V274" i="29" l="1"/>
  <c r="W274" i="29" s="1"/>
  <c r="P9" i="30"/>
  <c r="P12" i="30"/>
  <c r="P11" i="30"/>
  <c r="P8" i="30"/>
  <c r="P7" i="30"/>
  <c r="P5" i="30"/>
  <c r="P20" i="30"/>
  <c r="P19" i="30"/>
  <c r="P21" i="30"/>
  <c r="P6" i="30"/>
  <c r="P16" i="30"/>
  <c r="P15" i="30"/>
  <c r="P10" i="30"/>
  <c r="P13" i="30"/>
  <c r="P14" i="30"/>
  <c r="P18" i="30"/>
  <c r="P17" i="30"/>
  <c r="V257" i="29"/>
  <c r="U257" i="29"/>
  <c r="P4" i="24"/>
  <c r="P23" i="24" s="1"/>
  <c r="R259" i="29"/>
  <c r="T102" i="29"/>
  <c r="S102" i="29"/>
  <c r="L174" i="29"/>
  <c r="K142" i="29"/>
  <c r="K105" i="29"/>
  <c r="O105" i="29" s="1"/>
  <c r="K87" i="29"/>
  <c r="K86" i="29" s="1"/>
  <c r="K68" i="29"/>
  <c r="L68" i="29"/>
  <c r="T68" i="29" s="1"/>
  <c r="K69" i="29"/>
  <c r="L69" i="29"/>
  <c r="T69" i="29" s="1"/>
  <c r="K70" i="29"/>
  <c r="L70" i="29"/>
  <c r="T70" i="29" s="1"/>
  <c r="K71" i="29"/>
  <c r="L71" i="29"/>
  <c r="T71" i="29" s="1"/>
  <c r="K72" i="29"/>
  <c r="L72" i="29"/>
  <c r="T72" i="29" s="1"/>
  <c r="K73" i="29"/>
  <c r="K74" i="29"/>
  <c r="L74" i="29"/>
  <c r="K75" i="29"/>
  <c r="K76" i="29"/>
  <c r="K77" i="29"/>
  <c r="K78" i="29"/>
  <c r="K79" i="29"/>
  <c r="L79" i="29"/>
  <c r="T79" i="29" s="1"/>
  <c r="K80" i="29"/>
  <c r="K81" i="29"/>
  <c r="L81" i="29"/>
  <c r="T81" i="29" s="1"/>
  <c r="K83" i="29"/>
  <c r="L83" i="29"/>
  <c r="T83" i="29" s="1"/>
  <c r="K82" i="29"/>
  <c r="K251" i="29"/>
  <c r="L67" i="29"/>
  <c r="K67" i="29"/>
  <c r="K55" i="29"/>
  <c r="L55" i="29" s="1"/>
  <c r="K56" i="29"/>
  <c r="S56" i="29" s="1"/>
  <c r="L56" i="29"/>
  <c r="T56" i="29" s="1"/>
  <c r="K57" i="29"/>
  <c r="S57" i="29" s="1"/>
  <c r="L57" i="29"/>
  <c r="T57" i="29" s="1"/>
  <c r="K58" i="29"/>
  <c r="O58" i="29" s="1"/>
  <c r="L58" i="29"/>
  <c r="K59" i="29"/>
  <c r="O59" i="29" s="1"/>
  <c r="L59" i="29"/>
  <c r="K60" i="29"/>
  <c r="S60" i="29" s="1"/>
  <c r="L60" i="29"/>
  <c r="T60" i="29" s="1"/>
  <c r="K61" i="29"/>
  <c r="O61" i="29" s="1"/>
  <c r="L61" i="29"/>
  <c r="K62" i="29"/>
  <c r="S62" i="29" s="1"/>
  <c r="L62" i="29"/>
  <c r="T62" i="29" s="1"/>
  <c r="K63" i="29"/>
  <c r="O63" i="29" s="1"/>
  <c r="K64" i="29"/>
  <c r="O64" i="29" s="1"/>
  <c r="K54" i="29"/>
  <c r="K48" i="29"/>
  <c r="L48" i="29" s="1"/>
  <c r="K49" i="29"/>
  <c r="L49" i="29" s="1"/>
  <c r="K50" i="29"/>
  <c r="L50" i="29"/>
  <c r="T50" i="29" s="1"/>
  <c r="K51" i="29"/>
  <c r="L51" i="29"/>
  <c r="K47" i="29"/>
  <c r="K39" i="29"/>
  <c r="L39" i="29" s="1"/>
  <c r="K40" i="29"/>
  <c r="O40" i="29" s="1"/>
  <c r="K41" i="29"/>
  <c r="O41" i="29" s="1"/>
  <c r="K42" i="29"/>
  <c r="L42" i="29"/>
  <c r="K43" i="29"/>
  <c r="L43" i="29" s="1"/>
  <c r="K44" i="29"/>
  <c r="S44" i="29" s="1"/>
  <c r="L44" i="29"/>
  <c r="T44" i="29" s="1"/>
  <c r="K38" i="29"/>
  <c r="K30" i="29"/>
  <c r="K31" i="29"/>
  <c r="S31" i="29" s="1"/>
  <c r="L31" i="29"/>
  <c r="T31" i="29" s="1"/>
  <c r="K32" i="29"/>
  <c r="L32" i="29" s="1"/>
  <c r="K33" i="29"/>
  <c r="L33" i="29" s="1"/>
  <c r="K34" i="29"/>
  <c r="S34" i="29" s="1"/>
  <c r="L34" i="29"/>
  <c r="T34" i="29" s="1"/>
  <c r="K35" i="29"/>
  <c r="L29" i="29"/>
  <c r="T29" i="29" s="1"/>
  <c r="K29" i="29"/>
  <c r="S29" i="29" s="1"/>
  <c r="I53" i="29"/>
  <c r="I278" i="29" s="1"/>
  <c r="I46" i="29"/>
  <c r="I37" i="29"/>
  <c r="I28" i="29"/>
  <c r="K266" i="29"/>
  <c r="K268" i="29" s="1"/>
  <c r="L266" i="29"/>
  <c r="L268" i="29" s="1"/>
  <c r="E257" i="29"/>
  <c r="I266" i="29"/>
  <c r="I268" i="29" s="1"/>
  <c r="O42" i="29" l="1"/>
  <c r="P23" i="30"/>
  <c r="P24" i="30" s="1"/>
  <c r="M71" i="29"/>
  <c r="V71" i="29" s="1"/>
  <c r="S70" i="29"/>
  <c r="M70" i="29"/>
  <c r="V70" i="29" s="1"/>
  <c r="P59" i="29"/>
  <c r="Q59" i="29" s="1"/>
  <c r="O80" i="29"/>
  <c r="S74" i="29"/>
  <c r="M74" i="29"/>
  <c r="V74" i="29" s="1"/>
  <c r="P58" i="29"/>
  <c r="Q58" i="29" s="1"/>
  <c r="L251" i="29"/>
  <c r="L250" i="29" s="1"/>
  <c r="K250" i="29"/>
  <c r="S68" i="29"/>
  <c r="M68" i="29"/>
  <c r="V68" i="29" s="1"/>
  <c r="S83" i="29"/>
  <c r="M83" i="29"/>
  <c r="V83" i="29" s="1"/>
  <c r="L35" i="29"/>
  <c r="M35" i="29" s="1"/>
  <c r="O35" i="29"/>
  <c r="S35" i="29" s="1"/>
  <c r="S81" i="29"/>
  <c r="M81" i="29"/>
  <c r="V81" i="29" s="1"/>
  <c r="I277" i="29"/>
  <c r="I263" i="29"/>
  <c r="I282" i="29" s="1"/>
  <c r="K66" i="29"/>
  <c r="O51" i="29"/>
  <c r="P51" i="29" s="1"/>
  <c r="Q51" i="29" s="1"/>
  <c r="S69" i="29"/>
  <c r="M69" i="29"/>
  <c r="V69" i="29" s="1"/>
  <c r="S79" i="29"/>
  <c r="M79" i="29"/>
  <c r="V79" i="29" s="1"/>
  <c r="L82" i="29"/>
  <c r="M82" i="29" s="1"/>
  <c r="O82" i="29"/>
  <c r="S82" i="29" s="1"/>
  <c r="S72" i="29"/>
  <c r="M72" i="29"/>
  <c r="V72" i="29" s="1"/>
  <c r="R257" i="29"/>
  <c r="P61" i="29"/>
  <c r="Q61" i="29" s="1"/>
  <c r="K104" i="29"/>
  <c r="L173" i="29"/>
  <c r="L106" i="29"/>
  <c r="T67" i="29"/>
  <c r="S67" i="29"/>
  <c r="T99" i="29"/>
  <c r="S98" i="29"/>
  <c r="I269" i="29"/>
  <c r="S89" i="29"/>
  <c r="L38" i="29"/>
  <c r="M38" i="29" s="1"/>
  <c r="O38" i="29"/>
  <c r="S38" i="29" s="1"/>
  <c r="S90" i="29"/>
  <c r="S39" i="29"/>
  <c r="O251" i="29"/>
  <c r="L73" i="29"/>
  <c r="M73" i="29" s="1"/>
  <c r="V73" i="29" s="1"/>
  <c r="S99" i="29"/>
  <c r="O48" i="29"/>
  <c r="S48" i="29" s="1"/>
  <c r="S78" i="29"/>
  <c r="S96" i="29"/>
  <c r="L77" i="29"/>
  <c r="M77" i="29" s="1"/>
  <c r="V77" i="29" s="1"/>
  <c r="S77" i="29"/>
  <c r="O87" i="29"/>
  <c r="M59" i="29"/>
  <c r="S59" i="29"/>
  <c r="M55" i="29"/>
  <c r="S55" i="29"/>
  <c r="L76" i="29"/>
  <c r="M76" i="29" s="1"/>
  <c r="V76" i="29" s="1"/>
  <c r="S71" i="29"/>
  <c r="S94" i="29"/>
  <c r="L40" i="29"/>
  <c r="P40" i="29" s="1"/>
  <c r="Q40" i="29" s="1"/>
  <c r="S40" i="29"/>
  <c r="T74" i="29"/>
  <c r="S97" i="29"/>
  <c r="O49" i="29"/>
  <c r="L80" i="29"/>
  <c r="M80" i="29" s="1"/>
  <c r="M33" i="29"/>
  <c r="S33" i="29"/>
  <c r="O47" i="29"/>
  <c r="S47" i="29" s="1"/>
  <c r="S43" i="29"/>
  <c r="L54" i="29"/>
  <c r="O54" i="29"/>
  <c r="S54" i="29" s="1"/>
  <c r="S105" i="29"/>
  <c r="L64" i="29"/>
  <c r="P64" i="29" s="1"/>
  <c r="Q64" i="29" s="1"/>
  <c r="L63" i="29"/>
  <c r="P63" i="29" s="1"/>
  <c r="Q63" i="29" s="1"/>
  <c r="L30" i="29"/>
  <c r="M30" i="29" s="1"/>
  <c r="S30" i="29"/>
  <c r="L41" i="29"/>
  <c r="M41" i="29" s="1"/>
  <c r="S41" i="29"/>
  <c r="M50" i="29"/>
  <c r="S50" i="29"/>
  <c r="L75" i="29"/>
  <c r="M75" i="29" s="1"/>
  <c r="V75" i="29" s="1"/>
  <c r="S93" i="29"/>
  <c r="M62" i="29"/>
  <c r="M58" i="29"/>
  <c r="M57" i="29"/>
  <c r="M31" i="29"/>
  <c r="V31" i="29" s="1"/>
  <c r="M51" i="29"/>
  <c r="M60" i="29"/>
  <c r="M48" i="29"/>
  <c r="M43" i="29"/>
  <c r="M34" i="29"/>
  <c r="M49" i="29"/>
  <c r="M56" i="29"/>
  <c r="M29" i="29"/>
  <c r="M61" i="29"/>
  <c r="M67" i="29"/>
  <c r="M44" i="29"/>
  <c r="L142" i="29"/>
  <c r="L78" i="29"/>
  <c r="M78" i="29" s="1"/>
  <c r="V78" i="29" s="1"/>
  <c r="M42" i="29"/>
  <c r="M39" i="29"/>
  <c r="M32" i="29"/>
  <c r="L105" i="29"/>
  <c r="P105" i="29" s="1"/>
  <c r="T105" i="29" s="1"/>
  <c r="L87" i="29"/>
  <c r="K53" i="29"/>
  <c r="K278" i="29" s="1"/>
  <c r="L47" i="29"/>
  <c r="K46" i="29"/>
  <c r="K37" i="29"/>
  <c r="K28" i="29"/>
  <c r="V29" i="29" l="1"/>
  <c r="U29" i="29"/>
  <c r="M251" i="29"/>
  <c r="M250" i="29" s="1"/>
  <c r="P41" i="29"/>
  <c r="Q41" i="29" s="1"/>
  <c r="P42" i="29"/>
  <c r="T42" i="29" s="1"/>
  <c r="S42" i="29"/>
  <c r="P106" i="29"/>
  <c r="Q106" i="29" s="1"/>
  <c r="V82" i="29"/>
  <c r="K277" i="29"/>
  <c r="M66" i="29"/>
  <c r="T40" i="29"/>
  <c r="L66" i="29"/>
  <c r="P82" i="29"/>
  <c r="Q82" i="29" s="1"/>
  <c r="S51" i="29"/>
  <c r="P35" i="29"/>
  <c r="T35" i="29" s="1"/>
  <c r="S251" i="29"/>
  <c r="S250" i="29" s="1"/>
  <c r="O250" i="29"/>
  <c r="K263" i="29"/>
  <c r="K282" i="29" s="1"/>
  <c r="T51" i="29"/>
  <c r="P80" i="29"/>
  <c r="T80" i="29" s="1"/>
  <c r="S73" i="29"/>
  <c r="O66" i="29"/>
  <c r="O173" i="29"/>
  <c r="M173" i="29"/>
  <c r="O142" i="29"/>
  <c r="L104" i="29"/>
  <c r="O86" i="29"/>
  <c r="M106" i="29"/>
  <c r="R113" i="29"/>
  <c r="V113" i="29"/>
  <c r="T58" i="29"/>
  <c r="S61" i="29"/>
  <c r="T59" i="29"/>
  <c r="S58" i="29"/>
  <c r="T61" i="29"/>
  <c r="V231" i="29"/>
  <c r="V228" i="29"/>
  <c r="I270" i="29"/>
  <c r="I271" i="29" s="1"/>
  <c r="I273" i="29" s="1"/>
  <c r="V199" i="29"/>
  <c r="V219" i="29"/>
  <c r="V216" i="29"/>
  <c r="V220" i="29"/>
  <c r="V210" i="29"/>
  <c r="R44" i="29"/>
  <c r="V44" i="29"/>
  <c r="R70" i="29"/>
  <c r="V196" i="29"/>
  <c r="V58" i="29"/>
  <c r="R71" i="29"/>
  <c r="V240" i="29"/>
  <c r="R102" i="29"/>
  <c r="V102" i="29"/>
  <c r="V236" i="29"/>
  <c r="V201" i="29"/>
  <c r="R60" i="29"/>
  <c r="V60" i="29"/>
  <c r="R69" i="29"/>
  <c r="V51" i="29"/>
  <c r="V223" i="29"/>
  <c r="V207" i="29"/>
  <c r="R72" i="29"/>
  <c r="R34" i="29"/>
  <c r="V34" i="29"/>
  <c r="V180" i="29"/>
  <c r="V186" i="29"/>
  <c r="V190" i="29"/>
  <c r="V188" i="29"/>
  <c r="R67" i="29"/>
  <c r="V67" i="29"/>
  <c r="V212" i="29"/>
  <c r="R79" i="29"/>
  <c r="R74" i="29"/>
  <c r="R62" i="29"/>
  <c r="V62" i="29"/>
  <c r="R83" i="29"/>
  <c r="V61" i="29"/>
  <c r="V144" i="29"/>
  <c r="V191" i="29"/>
  <c r="R81" i="29"/>
  <c r="K269" i="29"/>
  <c r="R50" i="29"/>
  <c r="V50" i="29"/>
  <c r="V215" i="29"/>
  <c r="R56" i="29"/>
  <c r="V56" i="29"/>
  <c r="R57" i="29"/>
  <c r="V57" i="29"/>
  <c r="V59" i="29"/>
  <c r="S37" i="29"/>
  <c r="L28" i="29"/>
  <c r="Q105" i="29"/>
  <c r="Q143" i="29"/>
  <c r="T90" i="29"/>
  <c r="S75" i="29"/>
  <c r="P49" i="29"/>
  <c r="T49" i="29" s="1"/>
  <c r="S95" i="29"/>
  <c r="T33" i="29"/>
  <c r="T94" i="29"/>
  <c r="O28" i="29"/>
  <c r="T97" i="29"/>
  <c r="T64" i="29"/>
  <c r="T39" i="29"/>
  <c r="O37" i="29"/>
  <c r="P38" i="29"/>
  <c r="Q38" i="29" s="1"/>
  <c r="P87" i="29"/>
  <c r="T87" i="29" s="1"/>
  <c r="S76" i="29"/>
  <c r="T77" i="29"/>
  <c r="T43" i="29"/>
  <c r="T32" i="29"/>
  <c r="S49" i="29"/>
  <c r="T55" i="29"/>
  <c r="T96" i="29"/>
  <c r="S88" i="29"/>
  <c r="P251" i="29"/>
  <c r="L53" i="29"/>
  <c r="L278" i="29" s="1"/>
  <c r="M63" i="29"/>
  <c r="S32" i="29"/>
  <c r="S28" i="29" s="1"/>
  <c r="M54" i="29"/>
  <c r="M64" i="29"/>
  <c r="T93" i="29"/>
  <c r="T78" i="29"/>
  <c r="P48" i="29"/>
  <c r="T48" i="29" s="1"/>
  <c r="L37" i="29"/>
  <c r="M40" i="29"/>
  <c r="T91" i="29"/>
  <c r="S63" i="29"/>
  <c r="S64" i="29"/>
  <c r="P54" i="29"/>
  <c r="Q54" i="29" s="1"/>
  <c r="O53" i="29"/>
  <c r="O278" i="29" s="1"/>
  <c r="P47" i="29"/>
  <c r="Q47" i="29" s="1"/>
  <c r="O46" i="29"/>
  <c r="S80" i="29"/>
  <c r="S87" i="29"/>
  <c r="T82" i="29"/>
  <c r="M105" i="29"/>
  <c r="M142" i="29"/>
  <c r="M47" i="29"/>
  <c r="L46" i="29"/>
  <c r="M87" i="29"/>
  <c r="M28" i="29"/>
  <c r="U106" i="29" l="1"/>
  <c r="U143" i="29"/>
  <c r="R143" i="29" s="1"/>
  <c r="T106" i="29"/>
  <c r="Q42" i="29"/>
  <c r="R42" i="29" s="1"/>
  <c r="T41" i="29"/>
  <c r="V42" i="29"/>
  <c r="R51" i="29"/>
  <c r="L277" i="29"/>
  <c r="O104" i="29"/>
  <c r="O263" i="29" s="1"/>
  <c r="O282" i="29" s="1"/>
  <c r="Q35" i="29"/>
  <c r="V35" i="29" s="1"/>
  <c r="T251" i="29"/>
  <c r="T250" i="29" s="1"/>
  <c r="P250" i="29"/>
  <c r="Q80" i="29"/>
  <c r="V80" i="29" s="1"/>
  <c r="S86" i="29"/>
  <c r="S66" i="29"/>
  <c r="T73" i="29"/>
  <c r="P66" i="29"/>
  <c r="O277" i="29"/>
  <c r="S173" i="29"/>
  <c r="P173" i="29"/>
  <c r="M104" i="29"/>
  <c r="S142" i="29"/>
  <c r="P142" i="29"/>
  <c r="T88" i="29"/>
  <c r="R68" i="29"/>
  <c r="V99" i="29"/>
  <c r="R59" i="29"/>
  <c r="R58" i="29"/>
  <c r="R61" i="29"/>
  <c r="K270" i="29"/>
  <c r="K271" i="29" s="1"/>
  <c r="K273" i="29" s="1"/>
  <c r="V63" i="29"/>
  <c r="T89" i="29"/>
  <c r="V95" i="29"/>
  <c r="V209" i="29"/>
  <c r="V247" i="29"/>
  <c r="R99" i="29"/>
  <c r="V30" i="29"/>
  <c r="V54" i="29"/>
  <c r="V143" i="29"/>
  <c r="V246" i="29"/>
  <c r="R105" i="29"/>
  <c r="V105" i="29"/>
  <c r="R40" i="29"/>
  <c r="V40" i="29"/>
  <c r="V38" i="29"/>
  <c r="V244" i="29"/>
  <c r="L269" i="29"/>
  <c r="M46" i="29"/>
  <c r="V47" i="29"/>
  <c r="V89" i="29"/>
  <c r="O269" i="29"/>
  <c r="V245" i="29"/>
  <c r="V243" i="29"/>
  <c r="V242" i="29"/>
  <c r="M269" i="29"/>
  <c r="S269" i="29"/>
  <c r="V248" i="29"/>
  <c r="V241" i="29"/>
  <c r="T173" i="29"/>
  <c r="T95" i="29"/>
  <c r="R95" i="29" s="1"/>
  <c r="V32" i="29"/>
  <c r="T63" i="29"/>
  <c r="T75" i="29"/>
  <c r="R78" i="29"/>
  <c r="Q49" i="29"/>
  <c r="T54" i="29"/>
  <c r="M37" i="29"/>
  <c r="Q251" i="29"/>
  <c r="Q250" i="29" s="1"/>
  <c r="R77" i="29"/>
  <c r="T38" i="29"/>
  <c r="T37" i="29" s="1"/>
  <c r="P37" i="29"/>
  <c r="V64" i="29"/>
  <c r="Q48" i="29"/>
  <c r="T47" i="29"/>
  <c r="T30" i="29"/>
  <c r="T28" i="29" s="1"/>
  <c r="P28" i="29"/>
  <c r="T76" i="29"/>
  <c r="P53" i="29"/>
  <c r="P278" i="29" s="1"/>
  <c r="S46" i="29"/>
  <c r="S277" i="29" s="1"/>
  <c r="M53" i="29"/>
  <c r="M278" i="29" s="1"/>
  <c r="Q87" i="29"/>
  <c r="R87" i="29" s="1"/>
  <c r="S53" i="29"/>
  <c r="S278" i="29" s="1"/>
  <c r="R97" i="29"/>
  <c r="P46" i="29"/>
  <c r="T142" i="29" l="1"/>
  <c r="T104" i="29" s="1"/>
  <c r="M277" i="29"/>
  <c r="S104" i="29"/>
  <c r="S263" i="29" s="1"/>
  <c r="S282" i="29" s="1"/>
  <c r="T66" i="29"/>
  <c r="R73" i="29"/>
  <c r="Q66" i="29"/>
  <c r="P277" i="29"/>
  <c r="Q173" i="29"/>
  <c r="V175" i="29"/>
  <c r="P104" i="29"/>
  <c r="Q142" i="29"/>
  <c r="V106" i="29"/>
  <c r="R75" i="29"/>
  <c r="V205" i="29"/>
  <c r="O270" i="29"/>
  <c r="O271" i="29" s="1"/>
  <c r="O273" i="29" s="1"/>
  <c r="V221" i="29"/>
  <c r="V88" i="29"/>
  <c r="V176" i="29"/>
  <c r="V198" i="29"/>
  <c r="V232" i="29"/>
  <c r="V222" i="29"/>
  <c r="V230" i="29"/>
  <c r="R89" i="29"/>
  <c r="R63" i="29"/>
  <c r="V229" i="29"/>
  <c r="T53" i="29"/>
  <c r="T278" i="29" s="1"/>
  <c r="V177" i="29"/>
  <c r="V213" i="29"/>
  <c r="V195" i="29"/>
  <c r="V189" i="29"/>
  <c r="V234" i="29"/>
  <c r="V192" i="29"/>
  <c r="V194" i="29"/>
  <c r="V235" i="29"/>
  <c r="V179" i="29"/>
  <c r="V225" i="29"/>
  <c r="P269" i="29"/>
  <c r="T269" i="29"/>
  <c r="R93" i="29"/>
  <c r="V93" i="29"/>
  <c r="R94" i="29"/>
  <c r="V94" i="29"/>
  <c r="V237" i="29"/>
  <c r="V211" i="29"/>
  <c r="V206" i="29"/>
  <c r="R96" i="29"/>
  <c r="V96" i="29"/>
  <c r="R48" i="29"/>
  <c r="V48" i="29"/>
  <c r="V251" i="29"/>
  <c r="V250" i="29" s="1"/>
  <c r="N4" i="30" s="1"/>
  <c r="R49" i="29"/>
  <c r="V49" i="29"/>
  <c r="V183" i="29"/>
  <c r="V203" i="29"/>
  <c r="V187" i="29"/>
  <c r="V233" i="29"/>
  <c r="R33" i="29"/>
  <c r="V33" i="29"/>
  <c r="V28" i="29" s="1"/>
  <c r="R55" i="29"/>
  <c r="V55" i="29"/>
  <c r="V53" i="29" s="1"/>
  <c r="V278" i="29" s="1"/>
  <c r="V214" i="29"/>
  <c r="V218" i="29"/>
  <c r="V227" i="29"/>
  <c r="V204" i="29"/>
  <c r="V174" i="29"/>
  <c r="R41" i="29"/>
  <c r="V41" i="29"/>
  <c r="R39" i="29"/>
  <c r="V39" i="29"/>
  <c r="V184" i="29"/>
  <c r="V217" i="29"/>
  <c r="V87" i="29"/>
  <c r="V224" i="29"/>
  <c r="R80" i="29"/>
  <c r="V197" i="29"/>
  <c r="V97" i="29"/>
  <c r="V193" i="29"/>
  <c r="V208" i="29"/>
  <c r="V185" i="29"/>
  <c r="R43" i="29"/>
  <c r="V43" i="29"/>
  <c r="R91" i="29"/>
  <c r="V91" i="29"/>
  <c r="V181" i="29"/>
  <c r="V226" i="29"/>
  <c r="V202" i="29"/>
  <c r="V200" i="29"/>
  <c r="R90" i="29"/>
  <c r="V90" i="29"/>
  <c r="V238" i="29"/>
  <c r="V178" i="29"/>
  <c r="V164" i="29"/>
  <c r="V145" i="29"/>
  <c r="V160" i="29"/>
  <c r="V154" i="29"/>
  <c r="V153" i="29"/>
  <c r="V150" i="29"/>
  <c r="V162" i="29"/>
  <c r="V152" i="29"/>
  <c r="V156" i="29"/>
  <c r="V151" i="29"/>
  <c r="V158" i="29"/>
  <c r="V155" i="29"/>
  <c r="V148" i="29"/>
  <c r="V157" i="29"/>
  <c r="V165" i="29"/>
  <c r="V147" i="29"/>
  <c r="V161" i="29"/>
  <c r="V146" i="29"/>
  <c r="V149" i="29"/>
  <c r="V159" i="29"/>
  <c r="V163" i="29"/>
  <c r="R54" i="29"/>
  <c r="Q53" i="29"/>
  <c r="Q278" i="29" s="1"/>
  <c r="Q28" i="29"/>
  <c r="R64" i="29"/>
  <c r="Q37" i="29"/>
  <c r="R30" i="29"/>
  <c r="R76" i="29"/>
  <c r="R38" i="29"/>
  <c r="T46" i="29"/>
  <c r="T277" i="29" s="1"/>
  <c r="R47" i="29"/>
  <c r="Q46" i="29"/>
  <c r="N5" i="30" l="1"/>
  <c r="N16" i="30"/>
  <c r="N19" i="30"/>
  <c r="N12" i="30"/>
  <c r="N11" i="30"/>
  <c r="N13" i="30"/>
  <c r="N20" i="30"/>
  <c r="N21" i="30"/>
  <c r="N14" i="30"/>
  <c r="N9" i="30"/>
  <c r="N15" i="30"/>
  <c r="N8" i="30"/>
  <c r="N17" i="30"/>
  <c r="N6" i="30"/>
  <c r="N18" i="30"/>
  <c r="N10" i="30"/>
  <c r="N7" i="30"/>
  <c r="L4" i="24"/>
  <c r="L4" i="30"/>
  <c r="K4" i="24"/>
  <c r="K4" i="30"/>
  <c r="H4" i="24"/>
  <c r="H4" i="30"/>
  <c r="R251" i="29"/>
  <c r="R250" i="29" s="1"/>
  <c r="U250" i="29"/>
  <c r="Q104" i="29"/>
  <c r="Q277" i="29"/>
  <c r="U173" i="29"/>
  <c r="V173" i="29"/>
  <c r="R142" i="29"/>
  <c r="U142" i="29"/>
  <c r="V142" i="29"/>
  <c r="R106" i="29"/>
  <c r="R88" i="29"/>
  <c r="V66" i="29"/>
  <c r="I4" i="30" s="1"/>
  <c r="U66" i="29"/>
  <c r="R82" i="29"/>
  <c r="R66" i="29" s="1"/>
  <c r="S270" i="29"/>
  <c r="S271" i="29" s="1"/>
  <c r="R53" i="29"/>
  <c r="R278" i="29" s="1"/>
  <c r="U37" i="29"/>
  <c r="R37" i="29"/>
  <c r="V37" i="29"/>
  <c r="V46" i="29"/>
  <c r="V269" i="29"/>
  <c r="Q269" i="29"/>
  <c r="U53" i="29"/>
  <c r="U278" i="29" s="1"/>
  <c r="R46" i="29"/>
  <c r="R52" i="29" s="1"/>
  <c r="U46" i="29"/>
  <c r="L86" i="29"/>
  <c r="L263" i="29" s="1"/>
  <c r="L282" i="29" s="1"/>
  <c r="H53" i="29"/>
  <c r="H278" i="29" s="1"/>
  <c r="G53" i="29"/>
  <c r="G278" i="29" s="1"/>
  <c r="F53" i="29"/>
  <c r="F278" i="29" s="1"/>
  <c r="E53" i="29"/>
  <c r="E278" i="29" s="1"/>
  <c r="H46" i="29"/>
  <c r="G46" i="29"/>
  <c r="F46" i="29"/>
  <c r="E46" i="29"/>
  <c r="H37" i="29"/>
  <c r="G37" i="29"/>
  <c r="F37" i="29"/>
  <c r="E37" i="29"/>
  <c r="H21" i="30" l="1"/>
  <c r="H12" i="30"/>
  <c r="H10" i="30"/>
  <c r="H18" i="30"/>
  <c r="H20" i="30"/>
  <c r="H11" i="30"/>
  <c r="H6" i="30"/>
  <c r="H19" i="30"/>
  <c r="H8" i="30"/>
  <c r="H13" i="30"/>
  <c r="H7" i="30"/>
  <c r="H9" i="30"/>
  <c r="H14" i="30"/>
  <c r="H5" i="30"/>
  <c r="H17" i="30"/>
  <c r="H16" i="30"/>
  <c r="H15" i="30"/>
  <c r="K6" i="30"/>
  <c r="K18" i="30"/>
  <c r="K11" i="30"/>
  <c r="K9" i="30"/>
  <c r="K10" i="30"/>
  <c r="K17" i="30"/>
  <c r="K14" i="30"/>
  <c r="K13" i="30"/>
  <c r="K5" i="30"/>
  <c r="K21" i="30"/>
  <c r="K16" i="30"/>
  <c r="K12" i="30"/>
  <c r="K8" i="30"/>
  <c r="K19" i="30"/>
  <c r="K20" i="30"/>
  <c r="K7" i="30"/>
  <c r="K15" i="30"/>
  <c r="I13" i="30"/>
  <c r="I18" i="30"/>
  <c r="I9" i="30"/>
  <c r="I8" i="30"/>
  <c r="I19" i="30"/>
  <c r="I7" i="30"/>
  <c r="I12" i="30"/>
  <c r="I15" i="30"/>
  <c r="I5" i="30"/>
  <c r="I21" i="30"/>
  <c r="I11" i="30"/>
  <c r="I17" i="30"/>
  <c r="I20" i="30"/>
  <c r="I14" i="30"/>
  <c r="I16" i="30"/>
  <c r="I10" i="30"/>
  <c r="I6" i="30"/>
  <c r="L12" i="30"/>
  <c r="L6" i="30"/>
  <c r="L10" i="30"/>
  <c r="L5" i="30"/>
  <c r="L15" i="30"/>
  <c r="L13" i="30"/>
  <c r="L19" i="30"/>
  <c r="L20" i="30"/>
  <c r="L18" i="30"/>
  <c r="L21" i="30"/>
  <c r="L9" i="30"/>
  <c r="L7" i="30"/>
  <c r="L8" i="30"/>
  <c r="L14" i="30"/>
  <c r="L16" i="30"/>
  <c r="L17" i="30"/>
  <c r="L11" i="30"/>
  <c r="N23" i="30"/>
  <c r="N24" i="30" s="1"/>
  <c r="V104" i="29"/>
  <c r="R173" i="29"/>
  <c r="R104" i="29" s="1"/>
  <c r="V277" i="29"/>
  <c r="U104" i="29"/>
  <c r="L270" i="29"/>
  <c r="L271" i="29" s="1"/>
  <c r="L273" i="29" s="1"/>
  <c r="S23" i="29"/>
  <c r="S266" i="29" s="1"/>
  <c r="S268" i="29" s="1"/>
  <c r="S273" i="29" s="1"/>
  <c r="M86" i="29"/>
  <c r="M263" i="29" s="1"/>
  <c r="M282" i="29" s="1"/>
  <c r="G28" i="29"/>
  <c r="H28" i="29"/>
  <c r="R35" i="29"/>
  <c r="R32" i="29"/>
  <c r="R31" i="29"/>
  <c r="E28" i="29"/>
  <c r="H266" i="29"/>
  <c r="H268" i="29" s="1"/>
  <c r="G266" i="29"/>
  <c r="G268" i="29" s="1"/>
  <c r="E266" i="29"/>
  <c r="E268" i="29" s="1"/>
  <c r="G4" i="24" l="1"/>
  <c r="G4" i="30"/>
  <c r="H23" i="30"/>
  <c r="I23" i="30"/>
  <c r="I24" i="30" s="1"/>
  <c r="K23" i="30"/>
  <c r="L23" i="30"/>
  <c r="M4" i="24"/>
  <c r="M4" i="30"/>
  <c r="E277" i="29"/>
  <c r="E263" i="29"/>
  <c r="G277" i="29"/>
  <c r="G263" i="29"/>
  <c r="G282" i="29" s="1"/>
  <c r="H277" i="29"/>
  <c r="H263" i="29"/>
  <c r="H282" i="29" s="1"/>
  <c r="Q86" i="29"/>
  <c r="Q263" i="29" s="1"/>
  <c r="Q282" i="29" s="1"/>
  <c r="P86" i="29"/>
  <c r="P263" i="29" s="1"/>
  <c r="P282" i="29" s="1"/>
  <c r="H269" i="29"/>
  <c r="G269" i="29"/>
  <c r="T98" i="29"/>
  <c r="T86" i="29" s="1"/>
  <c r="T263" i="29" s="1"/>
  <c r="E269" i="29"/>
  <c r="U86" i="29"/>
  <c r="R29" i="29"/>
  <c r="R28" i="29" s="1"/>
  <c r="R277" i="29" s="1"/>
  <c r="F28" i="29"/>
  <c r="E282" i="29" l="1"/>
  <c r="E287" i="29"/>
  <c r="Z4" i="30"/>
  <c r="Z18" i="30" s="1"/>
  <c r="T282" i="29"/>
  <c r="G16" i="30"/>
  <c r="G19" i="30"/>
  <c r="G6" i="30"/>
  <c r="G5" i="30"/>
  <c r="G11" i="30"/>
  <c r="G13" i="30"/>
  <c r="G20" i="30"/>
  <c r="G21" i="30"/>
  <c r="G22" i="30"/>
  <c r="R22" i="30" s="1"/>
  <c r="W22" i="30" s="1"/>
  <c r="G14" i="30"/>
  <c r="G9" i="30"/>
  <c r="G18" i="30"/>
  <c r="G8" i="30"/>
  <c r="G12" i="30"/>
  <c r="G17" i="30"/>
  <c r="G15" i="30"/>
  <c r="G10" i="30"/>
  <c r="G7" i="30"/>
  <c r="M7" i="30"/>
  <c r="M18" i="30"/>
  <c r="M15" i="30"/>
  <c r="M17" i="30"/>
  <c r="M12" i="30"/>
  <c r="M9" i="30"/>
  <c r="M20" i="30"/>
  <c r="M5" i="30"/>
  <c r="M8" i="30"/>
  <c r="M14" i="30"/>
  <c r="M16" i="30"/>
  <c r="M11" i="30"/>
  <c r="M21" i="30"/>
  <c r="M6" i="30"/>
  <c r="M10" i="30"/>
  <c r="M13" i="30"/>
  <c r="M19" i="30"/>
  <c r="F277" i="29"/>
  <c r="F263" i="29"/>
  <c r="F282" i="29" s="1"/>
  <c r="V98" i="29"/>
  <c r="R98" i="29"/>
  <c r="R86" i="29" s="1"/>
  <c r="R263" i="29" s="1"/>
  <c r="G270" i="29"/>
  <c r="G271" i="29" s="1"/>
  <c r="G273" i="29" s="1"/>
  <c r="P270" i="29"/>
  <c r="P271" i="29" s="1"/>
  <c r="P273" i="29" s="1"/>
  <c r="M270" i="29"/>
  <c r="M271" i="29" s="1"/>
  <c r="U28" i="29"/>
  <c r="U277" i="29" s="1"/>
  <c r="H270" i="29"/>
  <c r="H271" i="29" s="1"/>
  <c r="H273" i="29" s="1"/>
  <c r="F269" i="29"/>
  <c r="R269" i="29"/>
  <c r="E270" i="29"/>
  <c r="E271" i="29" s="1"/>
  <c r="E273" i="29" s="1"/>
  <c r="S23" i="24"/>
  <c r="Z5" i="30" l="1"/>
  <c r="Y10" i="29" s="1"/>
  <c r="Z15" i="30"/>
  <c r="Z6" i="30"/>
  <c r="Z17" i="30"/>
  <c r="Z7" i="30"/>
  <c r="Z12" i="30"/>
  <c r="Z11" i="30"/>
  <c r="Z16" i="30"/>
  <c r="Z22" i="30"/>
  <c r="Z8" i="30"/>
  <c r="Z14" i="30"/>
  <c r="Z21" i="30"/>
  <c r="Z20" i="30"/>
  <c r="Z13" i="30"/>
  <c r="Z10" i="30"/>
  <c r="Z19" i="30"/>
  <c r="R282" i="29"/>
  <c r="Z9" i="30"/>
  <c r="Y22" i="30"/>
  <c r="X15" i="29" s="1"/>
  <c r="W27" i="30"/>
  <c r="G23" i="30"/>
  <c r="G24" i="30" s="1"/>
  <c r="M23" i="30"/>
  <c r="M24" i="30" s="1"/>
  <c r="U263" i="29"/>
  <c r="U282" i="29" s="1"/>
  <c r="I4" i="24"/>
  <c r="V86" i="29"/>
  <c r="J4" i="30" s="1"/>
  <c r="T270" i="29"/>
  <c r="T271" i="29" s="1"/>
  <c r="Q270" i="29"/>
  <c r="Q271" i="29" s="1"/>
  <c r="U269" i="29"/>
  <c r="T23" i="29"/>
  <c r="T266" i="29" s="1"/>
  <c r="T268" i="29" s="1"/>
  <c r="X21" i="29"/>
  <c r="F270" i="29"/>
  <c r="F271" i="29" s="1"/>
  <c r="F273" i="29" s="1"/>
  <c r="R5" i="24"/>
  <c r="Y13" i="29" l="1"/>
  <c r="Z23" i="30"/>
  <c r="AA22" i="30"/>
  <c r="J6" i="30"/>
  <c r="R6" i="30" s="1"/>
  <c r="W6" i="30" s="1"/>
  <c r="Y6" i="30" s="1"/>
  <c r="AA6" i="30" s="1"/>
  <c r="J8" i="30"/>
  <c r="R8" i="30" s="1"/>
  <c r="W8" i="30" s="1"/>
  <c r="Y8" i="30" s="1"/>
  <c r="AA8" i="30" s="1"/>
  <c r="J17" i="30"/>
  <c r="R17" i="30" s="1"/>
  <c r="W17" i="30" s="1"/>
  <c r="Y17" i="30" s="1"/>
  <c r="AA17" i="30" s="1"/>
  <c r="J16" i="30"/>
  <c r="R16" i="30" s="1"/>
  <c r="W16" i="30" s="1"/>
  <c r="Y16" i="30" s="1"/>
  <c r="AA16" i="30" s="1"/>
  <c r="J18" i="30"/>
  <c r="R18" i="30" s="1"/>
  <c r="W18" i="30" s="1"/>
  <c r="Y18" i="30" s="1"/>
  <c r="AA18" i="30" s="1"/>
  <c r="J5" i="30"/>
  <c r="J14" i="30"/>
  <c r="R14" i="30" s="1"/>
  <c r="W14" i="30" s="1"/>
  <c r="Y14" i="30" s="1"/>
  <c r="AA14" i="30" s="1"/>
  <c r="J13" i="30"/>
  <c r="R13" i="30" s="1"/>
  <c r="W13" i="30" s="1"/>
  <c r="Y13" i="30" s="1"/>
  <c r="AA13" i="30" s="1"/>
  <c r="J21" i="30"/>
  <c r="R21" i="30" s="1"/>
  <c r="W21" i="30" s="1"/>
  <c r="Y21" i="30" s="1"/>
  <c r="AA21" i="30" s="1"/>
  <c r="J7" i="30"/>
  <c r="R7" i="30" s="1"/>
  <c r="W7" i="30" s="1"/>
  <c r="Y7" i="30" s="1"/>
  <c r="AA7" i="30" s="1"/>
  <c r="J19" i="30"/>
  <c r="R19" i="30" s="1"/>
  <c r="W19" i="30" s="1"/>
  <c r="Y19" i="30" s="1"/>
  <c r="AA19" i="30" s="1"/>
  <c r="J12" i="30"/>
  <c r="R12" i="30" s="1"/>
  <c r="W12" i="30" s="1"/>
  <c r="Y12" i="30" s="1"/>
  <c r="AA12" i="30" s="1"/>
  <c r="J10" i="30"/>
  <c r="R10" i="30" s="1"/>
  <c r="W10" i="30" s="1"/>
  <c r="Y10" i="30" s="1"/>
  <c r="AA10" i="30" s="1"/>
  <c r="J9" i="30"/>
  <c r="R9" i="30" s="1"/>
  <c r="W9" i="30" s="1"/>
  <c r="Y9" i="30" s="1"/>
  <c r="AA9" i="30" s="1"/>
  <c r="J11" i="30"/>
  <c r="R11" i="30" s="1"/>
  <c r="W11" i="30" s="1"/>
  <c r="Y11" i="30" s="1"/>
  <c r="AA11" i="30" s="1"/>
  <c r="J20" i="30"/>
  <c r="R20" i="30" s="1"/>
  <c r="W20" i="30" s="1"/>
  <c r="Y20" i="30" s="1"/>
  <c r="AA20" i="30" s="1"/>
  <c r="J15" i="30"/>
  <c r="R15" i="30" s="1"/>
  <c r="W15" i="30" s="1"/>
  <c r="Y15" i="30" s="1"/>
  <c r="AA15" i="30" s="1"/>
  <c r="Q4" i="30"/>
  <c r="V263" i="29"/>
  <c r="J4" i="24"/>
  <c r="Q4" i="24" s="1"/>
  <c r="W4" i="24" s="1"/>
  <c r="X4" i="24" s="1"/>
  <c r="T273" i="29"/>
  <c r="R270" i="29"/>
  <c r="R271" i="29" s="1"/>
  <c r="U270" i="29"/>
  <c r="U271" i="29" s="1"/>
  <c r="U23" i="29"/>
  <c r="R23" i="29"/>
  <c r="Q266" i="29"/>
  <c r="Q268" i="29" s="1"/>
  <c r="Q273" i="29" s="1"/>
  <c r="J28" i="29"/>
  <c r="J263" i="29" s="1"/>
  <c r="J37" i="29"/>
  <c r="J46" i="29"/>
  <c r="J53" i="29"/>
  <c r="J278" i="29" s="1"/>
  <c r="J282" i="29" l="1"/>
  <c r="E288" i="29"/>
  <c r="E289" i="29" s="1"/>
  <c r="V270" i="29"/>
  <c r="V271" i="29" s="1"/>
  <c r="V282" i="29"/>
  <c r="J23" i="30"/>
  <c r="J24" i="30" s="1"/>
  <c r="R24" i="30" s="1"/>
  <c r="R5" i="30"/>
  <c r="W26" i="30"/>
  <c r="R4" i="30"/>
  <c r="W4" i="30" s="1"/>
  <c r="Q23" i="30"/>
  <c r="Q24" i="30" s="1"/>
  <c r="J277" i="29"/>
  <c r="N23" i="29"/>
  <c r="N266" i="29" s="1"/>
  <c r="N268" i="29" s="1"/>
  <c r="N273" i="29" s="1"/>
  <c r="J269" i="29"/>
  <c r="R266" i="29"/>
  <c r="R268" i="29" s="1"/>
  <c r="R273" i="29" s="1"/>
  <c r="U266" i="29"/>
  <c r="U268" i="29" s="1"/>
  <c r="U273" i="29" s="1"/>
  <c r="Y4" i="30" l="1"/>
  <c r="AA4" i="30" s="1"/>
  <c r="W5" i="30"/>
  <c r="R23" i="30"/>
  <c r="J270" i="29"/>
  <c r="J271" i="29" s="1"/>
  <c r="E8" i="24"/>
  <c r="E6" i="24"/>
  <c r="E5" i="24"/>
  <c r="Y5" i="30" l="1"/>
  <c r="W23" i="30"/>
  <c r="W25" i="30"/>
  <c r="F17" i="24"/>
  <c r="F18" i="24"/>
  <c r="F19" i="24"/>
  <c r="AA5" i="30" l="1"/>
  <c r="AA23" i="30" s="1"/>
  <c r="X10" i="29"/>
  <c r="Y23" i="30"/>
  <c r="L6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X13" i="29" l="1"/>
  <c r="Y24" i="30"/>
  <c r="L9" i="24"/>
  <c r="L11" i="24"/>
  <c r="L19" i="24"/>
  <c r="L13" i="24"/>
  <c r="L21" i="24"/>
  <c r="K19" i="24"/>
  <c r="K17" i="24"/>
  <c r="K5" i="24"/>
  <c r="K18" i="24"/>
  <c r="L20" i="24"/>
  <c r="L17" i="24"/>
  <c r="L12" i="24"/>
  <c r="L18" i="24"/>
  <c r="L10" i="24"/>
  <c r="L16" i="24"/>
  <c r="L8" i="24"/>
  <c r="L15" i="24"/>
  <c r="L7" i="24"/>
  <c r="E23" i="24"/>
  <c r="L5" i="24"/>
  <c r="L14" i="24"/>
  <c r="L23" i="24" l="1"/>
  <c r="N5" i="24" l="1"/>
  <c r="D7" i="24" l="1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6" i="24"/>
  <c r="D23" i="24" l="1"/>
  <c r="M5" i="24" l="1"/>
  <c r="F14" i="24" l="1"/>
  <c r="K14" i="24" s="1"/>
  <c r="F7" i="24" l="1"/>
  <c r="K7" i="24" s="1"/>
  <c r="F8" i="24"/>
  <c r="K8" i="24" s="1"/>
  <c r="F9" i="24"/>
  <c r="K9" i="24" s="1"/>
  <c r="F10" i="24"/>
  <c r="K10" i="24" s="1"/>
  <c r="F11" i="24"/>
  <c r="K11" i="24" s="1"/>
  <c r="F12" i="24"/>
  <c r="K12" i="24" s="1"/>
  <c r="F13" i="24"/>
  <c r="K13" i="24" s="1"/>
  <c r="F15" i="24"/>
  <c r="K15" i="24" s="1"/>
  <c r="F16" i="24"/>
  <c r="K16" i="24" s="1"/>
  <c r="F20" i="24"/>
  <c r="K20" i="24" s="1"/>
  <c r="F21" i="24"/>
  <c r="K21" i="24" s="1"/>
  <c r="F6" i="24"/>
  <c r="K6" i="24" s="1"/>
  <c r="F23" i="24" l="1"/>
  <c r="B23" i="24" l="1"/>
  <c r="C21" i="24"/>
  <c r="O21" i="24" s="1"/>
  <c r="C20" i="24"/>
  <c r="O20" i="24" s="1"/>
  <c r="C19" i="24"/>
  <c r="O19" i="24" s="1"/>
  <c r="C18" i="24"/>
  <c r="O18" i="24" s="1"/>
  <c r="C17" i="24"/>
  <c r="O17" i="24" s="1"/>
  <c r="C16" i="24"/>
  <c r="O16" i="24" s="1"/>
  <c r="C15" i="24"/>
  <c r="O15" i="24" s="1"/>
  <c r="C14" i="24"/>
  <c r="O14" i="24" s="1"/>
  <c r="C13" i="24"/>
  <c r="O13" i="24" s="1"/>
  <c r="C12" i="24"/>
  <c r="O12" i="24" s="1"/>
  <c r="C11" i="24"/>
  <c r="O11" i="24" s="1"/>
  <c r="C10" i="24"/>
  <c r="O10" i="24" s="1"/>
  <c r="C9" i="24"/>
  <c r="O9" i="24" s="1"/>
  <c r="C8" i="24"/>
  <c r="O8" i="24" s="1"/>
  <c r="C7" i="24"/>
  <c r="O7" i="24" s="1"/>
  <c r="C6" i="24"/>
  <c r="O6" i="24" s="1"/>
  <c r="O23" i="24" l="1"/>
  <c r="R15" i="24"/>
  <c r="R9" i="24"/>
  <c r="R11" i="24"/>
  <c r="R7" i="24"/>
  <c r="R8" i="24"/>
  <c r="R16" i="24"/>
  <c r="R17" i="24"/>
  <c r="R10" i="24"/>
  <c r="R18" i="24"/>
  <c r="R19" i="24"/>
  <c r="R12" i="24"/>
  <c r="R20" i="24"/>
  <c r="R13" i="24"/>
  <c r="R21" i="24"/>
  <c r="R6" i="24"/>
  <c r="R23" i="24" s="1"/>
  <c r="R14" i="24"/>
  <c r="N11" i="24"/>
  <c r="M11" i="24"/>
  <c r="N19" i="24"/>
  <c r="M19" i="24"/>
  <c r="N20" i="24"/>
  <c r="M20" i="24"/>
  <c r="N15" i="24"/>
  <c r="M15" i="24"/>
  <c r="N17" i="24"/>
  <c r="M17" i="24"/>
  <c r="N7" i="24"/>
  <c r="M7" i="24"/>
  <c r="N8" i="24"/>
  <c r="M8" i="24"/>
  <c r="N12" i="24"/>
  <c r="M12" i="24"/>
  <c r="N16" i="24"/>
  <c r="M16" i="24"/>
  <c r="N9" i="24"/>
  <c r="M9" i="24"/>
  <c r="N13" i="24"/>
  <c r="M13" i="24"/>
  <c r="N21" i="24"/>
  <c r="M21" i="24"/>
  <c r="N6" i="24"/>
  <c r="M6" i="24"/>
  <c r="N10" i="24"/>
  <c r="M10" i="24"/>
  <c r="N14" i="24"/>
  <c r="M14" i="24"/>
  <c r="N18" i="24"/>
  <c r="M18" i="24"/>
  <c r="C23" i="24"/>
  <c r="N23" i="24" l="1"/>
  <c r="N24" i="24" s="1"/>
  <c r="K23" i="24"/>
  <c r="J11" i="24" l="1"/>
  <c r="J6" i="24"/>
  <c r="J16" i="24"/>
  <c r="J14" i="24"/>
  <c r="J10" i="24"/>
  <c r="J13" i="24"/>
  <c r="J20" i="24"/>
  <c r="J5" i="24"/>
  <c r="J18" i="24"/>
  <c r="J17" i="24"/>
  <c r="J21" i="24"/>
  <c r="J19" i="24"/>
  <c r="J9" i="24"/>
  <c r="J7" i="24"/>
  <c r="J8" i="24"/>
  <c r="J12" i="24"/>
  <c r="J15" i="24"/>
  <c r="J23" i="24" l="1"/>
  <c r="J24" i="24" s="1"/>
  <c r="H7" i="24" l="1"/>
  <c r="H10" i="24"/>
  <c r="H16" i="24"/>
  <c r="H19" i="24"/>
  <c r="H11" i="24"/>
  <c r="H21" i="24"/>
  <c r="H6" i="24"/>
  <c r="H13" i="24"/>
  <c r="H18" i="24"/>
  <c r="H5" i="24"/>
  <c r="H12" i="24"/>
  <c r="H20" i="24"/>
  <c r="H9" i="24"/>
  <c r="H15" i="24"/>
  <c r="H8" i="24"/>
  <c r="H17" i="24"/>
  <c r="H14" i="24"/>
  <c r="H23" i="24" l="1"/>
  <c r="G20" i="24"/>
  <c r="G9" i="24" l="1"/>
  <c r="G17" i="24"/>
  <c r="G7" i="24"/>
  <c r="G5" i="24"/>
  <c r="G18" i="24"/>
  <c r="G14" i="24"/>
  <c r="G16" i="24"/>
  <c r="G8" i="24"/>
  <c r="G11" i="24"/>
  <c r="G12" i="24"/>
  <c r="G15" i="24"/>
  <c r="G22" i="24"/>
  <c r="Q22" i="24" s="1"/>
  <c r="G21" i="24"/>
  <c r="G19" i="24"/>
  <c r="G10" i="24"/>
  <c r="G13" i="24"/>
  <c r="G6" i="24"/>
  <c r="G23" i="24" l="1"/>
  <c r="G24" i="24" s="1"/>
  <c r="M23" i="24" l="1"/>
  <c r="M24" i="24" s="1"/>
  <c r="T5" i="24"/>
  <c r="T22" i="24"/>
  <c r="T12" i="24"/>
  <c r="T17" i="24"/>
  <c r="T15" i="24"/>
  <c r="T20" i="24"/>
  <c r="T7" i="24"/>
  <c r="T6" i="24"/>
  <c r="T8" i="24"/>
  <c r="T9" i="24"/>
  <c r="T13" i="24"/>
  <c r="T10" i="24"/>
  <c r="T11" i="24"/>
  <c r="T19" i="24"/>
  <c r="T21" i="24"/>
  <c r="T18" i="24"/>
  <c r="T14" i="24"/>
  <c r="T16" i="24"/>
  <c r="W22" i="24" l="1"/>
  <c r="T23" i="24"/>
  <c r="R24" i="24" s="1"/>
  <c r="W27" i="24" l="1"/>
  <c r="X22" i="24"/>
  <c r="X27" i="24" s="1"/>
  <c r="V27" i="24"/>
  <c r="I6" i="24" l="1"/>
  <c r="Q6" i="24" s="1"/>
  <c r="W6" i="24" s="1"/>
  <c r="I17" i="24"/>
  <c r="Q17" i="24" s="1"/>
  <c r="W17" i="24" s="1"/>
  <c r="X17" i="24" s="1"/>
  <c r="I8" i="24"/>
  <c r="Q8" i="24" s="1"/>
  <c r="W8" i="24" s="1"/>
  <c r="X8" i="24" s="1"/>
  <c r="I12" i="24"/>
  <c r="Q12" i="24" s="1"/>
  <c r="W12" i="24" s="1"/>
  <c r="X12" i="24" s="1"/>
  <c r="I18" i="24"/>
  <c r="Q18" i="24" s="1"/>
  <c r="W18" i="24" s="1"/>
  <c r="X18" i="24" s="1"/>
  <c r="I15" i="24"/>
  <c r="Q15" i="24" s="1"/>
  <c r="W15" i="24" s="1"/>
  <c r="X15" i="24" s="1"/>
  <c r="I14" i="24"/>
  <c r="Q14" i="24" s="1"/>
  <c r="W14" i="24" s="1"/>
  <c r="X14" i="24" s="1"/>
  <c r="I19" i="24"/>
  <c r="Q19" i="24" s="1"/>
  <c r="W19" i="24" s="1"/>
  <c r="X19" i="24" s="1"/>
  <c r="I5" i="24"/>
  <c r="Q5" i="24" s="1"/>
  <c r="W5" i="24" s="1"/>
  <c r="I16" i="24"/>
  <c r="Q16" i="24" s="1"/>
  <c r="W16" i="24" s="1"/>
  <c r="X16" i="24" s="1"/>
  <c r="I20" i="24"/>
  <c r="Q20" i="24" s="1"/>
  <c r="W20" i="24" s="1"/>
  <c r="X20" i="24" s="1"/>
  <c r="I9" i="24"/>
  <c r="Q9" i="24" s="1"/>
  <c r="W9" i="24" s="1"/>
  <c r="X9" i="24" s="1"/>
  <c r="I11" i="24"/>
  <c r="Q11" i="24" s="1"/>
  <c r="W11" i="24" s="1"/>
  <c r="X11" i="24" s="1"/>
  <c r="I7" i="24"/>
  <c r="Q7" i="24" s="1"/>
  <c r="W7" i="24" s="1"/>
  <c r="X7" i="24" s="1"/>
  <c r="I21" i="24"/>
  <c r="Q21" i="24" s="1"/>
  <c r="W21" i="24" s="1"/>
  <c r="X21" i="24" s="1"/>
  <c r="I13" i="24"/>
  <c r="Q13" i="24" s="1"/>
  <c r="W13" i="24" s="1"/>
  <c r="X13" i="24" s="1"/>
  <c r="I10" i="24"/>
  <c r="Q10" i="24" s="1"/>
  <c r="W10" i="24" s="1"/>
  <c r="X10" i="24" s="1"/>
  <c r="X5" i="24" l="1"/>
  <c r="X25" i="24" s="1"/>
  <c r="W23" i="24"/>
  <c r="W25" i="24"/>
  <c r="W26" i="24"/>
  <c r="X6" i="24"/>
  <c r="X26" i="24" s="1"/>
  <c r="I23" i="24"/>
  <c r="I24" i="24" s="1"/>
  <c r="Q24" i="24" s="1"/>
  <c r="X24" i="24" s="1"/>
  <c r="X23" i="29" l="1"/>
  <c r="X23" i="24"/>
  <c r="V26" i="24"/>
  <c r="V25" i="24"/>
  <c r="Q23" i="24"/>
  <c r="V23" i="29" l="1"/>
  <c r="V266" i="29" s="1"/>
  <c r="V268" i="29" s="1"/>
  <c r="M23" i="29"/>
  <c r="M266" i="29" s="1"/>
  <c r="M268" i="29" s="1"/>
  <c r="M273" i="29" s="1"/>
  <c r="J21" i="29"/>
  <c r="W21" i="29" s="1"/>
  <c r="W23" i="29" s="1"/>
  <c r="W266" i="29" s="1"/>
  <c r="W268" i="29" s="1"/>
  <c r="W273" i="29" s="1"/>
  <c r="W275" i="29" s="1"/>
  <c r="V273" i="29" l="1"/>
  <c r="V275" i="29" s="1"/>
  <c r="Y4" i="24"/>
  <c r="Y18" i="24" s="1"/>
  <c r="J23" i="29"/>
  <c r="J266" i="29" s="1"/>
  <c r="J268" i="29" s="1"/>
  <c r="J273" i="29" s="1"/>
  <c r="Y19" i="24" l="1"/>
  <c r="Y13" i="24"/>
  <c r="Y22" i="24"/>
  <c r="Y27" i="24" s="1"/>
  <c r="Y12" i="24"/>
  <c r="Y9" i="24"/>
  <c r="Y7" i="24"/>
  <c r="Y21" i="24"/>
  <c r="Y5" i="24"/>
  <c r="Y25" i="24" s="1"/>
  <c r="Y16" i="24"/>
  <c r="Y17" i="24"/>
  <c r="Y15" i="24"/>
  <c r="Y11" i="24"/>
  <c r="Y6" i="24"/>
  <c r="Y10" i="24"/>
  <c r="Y14" i="24"/>
  <c r="Y20" i="24"/>
  <c r="Y8" i="24"/>
  <c r="Y26" i="24" l="1"/>
  <c r="Y23" i="29" s="1"/>
  <c r="X24" i="29" s="1"/>
  <c r="Y23" i="24"/>
</calcChain>
</file>

<file path=xl/sharedStrings.xml><?xml version="1.0" encoding="utf-8"?>
<sst xmlns="http://schemas.openxmlformats.org/spreadsheetml/2006/main" count="738" uniqueCount="502">
  <si>
    <t>Mieten und Pachten</t>
  </si>
  <si>
    <t>Sonstige Zuweisungen vom Bund</t>
  </si>
  <si>
    <t>Sonstige Zuweisungen von Ländern</t>
  </si>
  <si>
    <t>Gesamteinnahmen</t>
  </si>
  <si>
    <t>A U S G A B E N</t>
  </si>
  <si>
    <t>Entgelte der Arbeitnehmerinnen und Arbeitnehmer</t>
  </si>
  <si>
    <t>Trennungsgeld, Umzugskostenvergütungen</t>
  </si>
  <si>
    <t>Aus- und Fortbildung</t>
  </si>
  <si>
    <t>Sachverständige, Gerichts- und ähnliche Kosten</t>
  </si>
  <si>
    <t>Reisekosten</t>
  </si>
  <si>
    <t>Verfügungsmittel</t>
  </si>
  <si>
    <t>Gesamtausgaben</t>
  </si>
  <si>
    <t>Übertragungseinnahmen</t>
  </si>
  <si>
    <t>Vermögenswirksame und besondere Finanzierungseinnahmen</t>
  </si>
  <si>
    <t>Personalausgaben</t>
  </si>
  <si>
    <t>Sächliche Verwaltungsausgaben</t>
  </si>
  <si>
    <t>Abschluss</t>
  </si>
  <si>
    <t>Fehlbetrag (-) / Überschuss (+)</t>
  </si>
  <si>
    <t>Umsetzung Leitlinie für Informationssicherheit</t>
  </si>
  <si>
    <t>Betrieb Informationssystem des IT-Planungsrats (Sharepoint-Server)</t>
  </si>
  <si>
    <t>Behördenfinder Deutschland (BFD)</t>
  </si>
  <si>
    <t>Das Datenportal für Deutschland (GovData)</t>
  </si>
  <si>
    <t>231 01</t>
  </si>
  <si>
    <t>232 01</t>
  </si>
  <si>
    <t>422 01</t>
  </si>
  <si>
    <t>428 01</t>
  </si>
  <si>
    <t>453 01</t>
  </si>
  <si>
    <t>511 01</t>
  </si>
  <si>
    <t>518 01</t>
  </si>
  <si>
    <t>525 01</t>
  </si>
  <si>
    <t>526 01</t>
  </si>
  <si>
    <t>527 01</t>
  </si>
  <si>
    <t>529 01</t>
  </si>
  <si>
    <t>538 01</t>
  </si>
  <si>
    <t>538 02</t>
  </si>
  <si>
    <t>Projekte</t>
  </si>
  <si>
    <t>538 04</t>
  </si>
  <si>
    <t>538 05</t>
  </si>
  <si>
    <t>Standards</t>
  </si>
  <si>
    <t>Produkte</t>
  </si>
  <si>
    <t>441 01</t>
  </si>
  <si>
    <t>Fachkongress IT-PLR</t>
  </si>
  <si>
    <t>Digitaler Staat</t>
  </si>
  <si>
    <t>Zukunftskongress</t>
  </si>
  <si>
    <t>Summe</t>
  </si>
  <si>
    <t>636 01</t>
  </si>
  <si>
    <t>443 01</t>
  </si>
  <si>
    <t>Deutsches Verwaltungsdiensteverzeichnis (DVDV 2.0)</t>
  </si>
  <si>
    <t>111 01</t>
  </si>
  <si>
    <t>119 01</t>
  </si>
  <si>
    <t>Gebühren, Sonstige Entgelte</t>
  </si>
  <si>
    <t>Sonstige Verwaltungseinnahmen</t>
  </si>
  <si>
    <t>231 02</t>
  </si>
  <si>
    <t>232 02</t>
  </si>
  <si>
    <t>Fürsorgeleistungen und Unterstützungen</t>
  </si>
  <si>
    <t>Bund-Länder-Veranstaltungen mit Beteiligung IT-PLR</t>
  </si>
  <si>
    <t>Eigene Veranstaltungen IT-PLR (Fachministerkonferenz, OZG, usw.)</t>
  </si>
  <si>
    <t>XÖV-Standardisierung (ITZBund)</t>
  </si>
  <si>
    <t>232 03</t>
  </si>
  <si>
    <t>Sitzlandquote Hessen</t>
  </si>
  <si>
    <t>Titel</t>
  </si>
  <si>
    <t>Titelbeschreibung</t>
  </si>
  <si>
    <t>Einheitliche Behördennummer 115</t>
  </si>
  <si>
    <t>Bezüge und Nebenleistungen der Beamtinnen und Beamten</t>
  </si>
  <si>
    <t>361 01</t>
  </si>
  <si>
    <t>Sonstige Zuweisungen vom Bund, Übertragung Versorgungslast</t>
  </si>
  <si>
    <t>Geschäftsbedarf, Ausrüstungs- u. sonstige Gebrauchsgegenstände</t>
  </si>
  <si>
    <t>Sonst. Zuweisungen an Sozialversicherungsträger, BA, Unfallkasse</t>
  </si>
  <si>
    <t>Online-Sicherheitsprüfung (OSiP)</t>
  </si>
  <si>
    <t>Verwaltungskosten</t>
  </si>
  <si>
    <t>Leitung, Organisation und Kommunikation, KoSIT EV 001</t>
  </si>
  <si>
    <t>Einheitlicher Zeichensatz, KoSIT EV 007</t>
  </si>
  <si>
    <t>Produkte - Abrechnung über FITKO</t>
  </si>
  <si>
    <t>Standards des IT-Planungsrats</t>
  </si>
  <si>
    <t>Bund 25 %
Länder 75 % Königst.Schlüssel</t>
  </si>
  <si>
    <t>Bund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</si>
  <si>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</si>
  <si>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</si>
  <si>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</si>
  <si>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</si>
  <si>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</si>
  <si>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</si>
  <si>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</si>
  <si>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</si>
  <si>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</si>
  <si>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</si>
  <si>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</si>
  <si>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</si>
  <si>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</si>
  <si>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</si>
  <si>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</si>
  <si>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</si>
  <si>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Hessen (Sitzlandquote)</t>
  </si>
  <si>
    <t xml:space="preserve">Bund: </t>
  </si>
  <si>
    <t xml:space="preserve">Länder ohne 10%: </t>
  </si>
  <si>
    <t>Summe
Ausgaben</t>
  </si>
  <si>
    <t>Einnahmen</t>
  </si>
  <si>
    <t>Ausgaben</t>
  </si>
  <si>
    <t xml:space="preserve">10% Sitzlandquote Hessen: </t>
  </si>
  <si>
    <t>511 00</t>
  </si>
  <si>
    <t>Interoperable Servicekonten FINK</t>
  </si>
  <si>
    <t>427 01</t>
  </si>
  <si>
    <t>459 01</t>
  </si>
  <si>
    <t>Sonstige personalbezogene Ausgaben</t>
  </si>
  <si>
    <t>Beschäftigungsentgelte, Vergütungen, Honorare</t>
  </si>
  <si>
    <t>Beihilfen (ohne Versorgungsempfänger)</t>
  </si>
  <si>
    <t>OFD (Hausdienste)</t>
  </si>
  <si>
    <t>Mitgliedschaften</t>
  </si>
  <si>
    <t>Kommunikation und Öffentlichkeitsarbeit</t>
  </si>
  <si>
    <t>Telefon und Mobilfunkkosten</t>
  </si>
  <si>
    <t>Ausgaben für Verwaltungsdienstleistungen</t>
  </si>
  <si>
    <t>Allgemeine Verwaltungsausgaben</t>
  </si>
  <si>
    <t>Aufgaben und Veranstaltungen des IT-PLR</t>
  </si>
  <si>
    <t>Sonstiges</t>
  </si>
  <si>
    <t>Resteübertragung/Überschuss aus Vorjahr</t>
  </si>
  <si>
    <t>DCAT-AP.de (GovData)</t>
  </si>
  <si>
    <t>XDatenfelder (FIM)</t>
  </si>
  <si>
    <t>XProzess (FIM)</t>
  </si>
  <si>
    <t>XZuFi (FIM)</t>
  </si>
  <si>
    <t>XBau/XPlanung</t>
  </si>
  <si>
    <t>XÖV-Standardisierungsrahmen, KoSIT EV 002</t>
  </si>
  <si>
    <t>OSCI-Transport, KoSIT EV 003</t>
  </si>
  <si>
    <t>XDomea, KoSIT EV 006</t>
  </si>
  <si>
    <t>Beraterkosten</t>
  </si>
  <si>
    <t>FIT-Store</t>
  </si>
  <si>
    <t>FIT-Connect</t>
  </si>
  <si>
    <t>Portalverbund Online-Gateway PVOG</t>
  </si>
  <si>
    <t>modifizierter
Königst. Schlüssel Govdata</t>
  </si>
  <si>
    <t>FIT Store vermittelte Einnahmen</t>
  </si>
  <si>
    <t>Königsteiner Schlüssel
2019</t>
  </si>
  <si>
    <t>Digitale Hochschulplattform eGovCampus</t>
  </si>
  <si>
    <t>Unternehmenskonto</t>
  </si>
  <si>
    <t>XFall</t>
  </si>
  <si>
    <t>Standardisierungsmanagement</t>
  </si>
  <si>
    <t>Webauftritt FITKO / IT-Planungsrat</t>
  </si>
  <si>
    <t>Kosten RP Kassel</t>
  </si>
  <si>
    <t>HMdF (Personalbewirtschaftung)</t>
  </si>
  <si>
    <t>FIT-Store vermittelte Ausgaben</t>
  </si>
  <si>
    <t>632 02</t>
  </si>
  <si>
    <t>233 02</t>
  </si>
  <si>
    <t>Sonstige Zuweisungen Andere, Übertragung Versorgungslast</t>
  </si>
  <si>
    <t>Gebühreneinn.
Verwaltungs
-einnahmen
11101, 36101</t>
  </si>
  <si>
    <t>Marktplatz Govdigital</t>
  </si>
  <si>
    <t>Föderale Architektur</t>
  </si>
  <si>
    <t>538 06</t>
  </si>
  <si>
    <t>538 07</t>
  </si>
  <si>
    <t>Projekte aus dem Digitalisierungsbudget 2020-2022</t>
  </si>
  <si>
    <t>231 03</t>
  </si>
  <si>
    <t>Sonstige Zuweisungen vom Bund, zusätzliche Einnahmen</t>
  </si>
  <si>
    <t>232 04</t>
  </si>
  <si>
    <t>XStandard  Einkauf*</t>
  </si>
  <si>
    <t>XBezahldienste</t>
  </si>
  <si>
    <t>XDomea:Verwaltung</t>
  </si>
  <si>
    <t>XFörderleistungsbeschreibung</t>
  </si>
  <si>
    <t>Smart Country Convention (SCCON)</t>
  </si>
  <si>
    <t>Bund 35 %
Länder 65 % Königst.Schlüssel</t>
  </si>
  <si>
    <t>Verwaltungskosten Digitalisierungsprojekte</t>
  </si>
  <si>
    <t>Progr. Optim. Föder. Inform.manag. (FIM)</t>
  </si>
  <si>
    <t>Aufbau Föder. IT-Architekturmanagements</t>
  </si>
  <si>
    <t>Kommun.mgm Digital. Verwalt. (int/ext)</t>
  </si>
  <si>
    <t>Digitale Wirtschaftsservices, RI</t>
  </si>
  <si>
    <t>OZG Sportförderung</t>
  </si>
  <si>
    <t>EfA-Umsetzung Förderung ehrenamtlicher Tätigkeit</t>
  </si>
  <si>
    <t>Open Source Werkzeug für XÖV</t>
  </si>
  <si>
    <t>Anbindung des Handelsregisters an das WSP.NRW</t>
  </si>
  <si>
    <t>Digitalisierung der Beschaffung NRW</t>
  </si>
  <si>
    <t>Digitalisierung der Beschaffung RLP</t>
  </si>
  <si>
    <t>govdigital Marktplatz, Betrieb und Weiterentwickl.</t>
  </si>
  <si>
    <t>EfA Umsetzung der OZG-Leistung Sportförderung</t>
  </si>
  <si>
    <t>XRepository - Sicherheit und Qualitätssicherung</t>
  </si>
  <si>
    <t>Berufliche Bildung - Zusammenarbeitsstr. m.Kammern</t>
  </si>
  <si>
    <t>MODUL-F @Kommunen</t>
  </si>
  <si>
    <t>TF Gesundheit Teilhabe am Arbeitsleben</t>
  </si>
  <si>
    <t>Innovative Weiterbildungskonzepte, Kompetenz-Turbo</t>
  </si>
  <si>
    <t>Weiterf. Container und Cloud Strategie, Governikus</t>
  </si>
  <si>
    <t>Umsetz. Sorgeregister, RI Landessorgeregister FHB</t>
  </si>
  <si>
    <t>Stärkung der XTA/OSCI-Infrastrukturen</t>
  </si>
  <si>
    <t>RegCheck - Rolloutverprobung Bsp IDNr Meldereg.</t>
  </si>
  <si>
    <t>Qualitätsprojekt Q vormals Qualitätsoffensive</t>
  </si>
  <si>
    <t>Optimierung Standardisierungsagenda</t>
  </si>
  <si>
    <t>RegMod UP Mehraufwände HH</t>
  </si>
  <si>
    <t>RegMod UP Mehraufwände NRW</t>
  </si>
  <si>
    <t>RegMod UP Mehraufwand BW</t>
  </si>
  <si>
    <t>RegMod UP Erprobung Vorgehensmodell BZR GZR</t>
  </si>
  <si>
    <t>Nachnutzung MVP EfA Parametrisierung</t>
  </si>
  <si>
    <t>Zukunftstechnologie für 115 und OZG 2.0</t>
  </si>
  <si>
    <t>Mehrbedarf Personalbedarf (RegMod)</t>
  </si>
  <si>
    <t>Digitalisierung Bohrlochgeophysik</t>
  </si>
  <si>
    <t>Digital. Verfahren Bundes-Immissionsschutzgesetz</t>
  </si>
  <si>
    <t>XBezahldienst</t>
  </si>
  <si>
    <t>Sonstige Zuweisungen von Ländern, zusätzliche Einnahmen</t>
  </si>
  <si>
    <t>Kosten HZD IT-Arbeitsplatz, Software, HessenVoice, etc.</t>
  </si>
  <si>
    <t>Föderales Informationsmanagement (FIM)</t>
  </si>
  <si>
    <t>Sonstige Zuweisungen Andere, zusätzliche Einnahmen</t>
  </si>
  <si>
    <t>Berechnungsgrundlagen</t>
  </si>
  <si>
    <t>Beteiligte</t>
  </si>
  <si>
    <t>Registermodernisierung OZG-Umsetzung</t>
  </si>
  <si>
    <t>538 08</t>
  </si>
  <si>
    <t>Kosten Hess. Competence Center f. neue Verwaltungssteuer. (HCC)</t>
  </si>
  <si>
    <t>sonstige Dienstleistungen und Gestattungen</t>
  </si>
  <si>
    <t>233 03</t>
  </si>
  <si>
    <t>GovData
(sep.Schlüssel)</t>
  </si>
  <si>
    <t>modifizierter
Königst.Schlüssel
 115</t>
  </si>
  <si>
    <t>115
(sep.Schlüssel)</t>
  </si>
  <si>
    <t>FITKO - Stammbudget           IT-Planungsrat</t>
  </si>
  <si>
    <t>sonst. DL und
Gestattung
( 25% / 75% )</t>
  </si>
  <si>
    <t>Verwaltungs-kosten 
(10 / 22,5 / 67,5%)</t>
  </si>
  <si>
    <t>Standards
( 25% / 75% )</t>
  </si>
  <si>
    <r>
      <t>Projekte
(</t>
    </r>
    <r>
      <rPr>
        <b/>
        <sz val="12"/>
        <rFont val="Arial"/>
        <family val="2"/>
      </rPr>
      <t>25% / 75%)</t>
    </r>
  </si>
  <si>
    <t>Produkte ohne GovData + 115
( 25% / 75% )</t>
  </si>
  <si>
    <t>Schwerpunkte
ohne EfA-Nachnutzung
( 25% / 75% )</t>
  </si>
  <si>
    <t>Sonstige Zuweisungen von Ländern, Übertrag. Versorgungslast</t>
  </si>
  <si>
    <t>161 01</t>
  </si>
  <si>
    <t>Zinseinnahmen</t>
  </si>
  <si>
    <t>Sonstige DL Digibudget</t>
  </si>
  <si>
    <t>Durchführung von Digitalisierungslaboren</t>
  </si>
  <si>
    <t>Interoper. Servicekont Bürg. und Bürger</t>
  </si>
  <si>
    <t>(Weiter-) Entw. Standards Schnittstellen</t>
  </si>
  <si>
    <t>Forsch Entw Umset Quali Digit Öffen Sekt</t>
  </si>
  <si>
    <t>Digit. Hochschulpl. E-Gov. Verw.informat (bis 30.6.2023)</t>
  </si>
  <si>
    <t>Digitalisierung Beschaffung - Weiterentw. XVergabe</t>
  </si>
  <si>
    <t>Ehrenamtskarten-App, RI</t>
  </si>
  <si>
    <t>Unterhaltsvorschuss Online, RI  (bis 31.12.2022)</t>
  </si>
  <si>
    <t>Bergbau (Check-Out)</t>
  </si>
  <si>
    <t>Fit-Connect  (bis 31.12.2022)</t>
  </si>
  <si>
    <t>OSiP - Entwicklung</t>
  </si>
  <si>
    <t>Kleinteilige Beschaffung (NRW)  (bis 31.12.2022)</t>
  </si>
  <si>
    <t>EfA-Nachnutzung über govdigital (Check-Out)</t>
  </si>
  <si>
    <t>GovData Umsetzung  (bis 31.12.2023)</t>
  </si>
  <si>
    <t>Module IT-Infrastruktur  (bis 31.12.2022)</t>
  </si>
  <si>
    <t>Ausbau Multikanal  (bis 31.12.2023)</t>
  </si>
  <si>
    <t>XDomea Werkzeug</t>
  </si>
  <si>
    <t>115 als zentrale Supportkomponente</t>
  </si>
  <si>
    <t>Dt-NL Once-Only-Pilot Unternehmensanmeldung (SDG/eIDAS)  (bis 31.12.2022)</t>
  </si>
  <si>
    <t>xdomea Werkzeug z. Profilierung und Visualisierung, XÖV-Suite</t>
  </si>
  <si>
    <t>Open Source Werkzeug für XÖV (Check-Out)</t>
  </si>
  <si>
    <t>Weiterentwicklung ID Crucis (Check-Out)</t>
  </si>
  <si>
    <t>Erweiterter Gehaltsdatenabruf (Check-Out)</t>
  </si>
  <si>
    <t>"Daueraufgaben" Schwerpunkte des IT-Planungsrats</t>
  </si>
  <si>
    <t>542 00</t>
  </si>
  <si>
    <t>Steuern und Abgaben (Umsatzsteuer)</t>
  </si>
  <si>
    <t>Steuern und Abgaben (Kapitalertragsteuer)</t>
  </si>
  <si>
    <t>125 01</t>
  </si>
  <si>
    <t>FIM Programmsteuerung</t>
  </si>
  <si>
    <t>FIM Schulung</t>
  </si>
  <si>
    <t>FIM-Bausteinharmonisierung</t>
  </si>
  <si>
    <t>Gesamtsteuerung Registermodernisierung, Personal- und Sachkosten BY</t>
  </si>
  <si>
    <t>Gesamtsteuerung Registermodernisierung, Personal- und Sachkosten BW</t>
  </si>
  <si>
    <t>Gesamtsteuerung Registermodernisierung, Personal- und Sachkosten HH</t>
  </si>
  <si>
    <t>Gesamtsteuerung Registermodernisierung, Personal- und Sachkosten NRW</t>
  </si>
  <si>
    <t>100 001</t>
  </si>
  <si>
    <t>100 000</t>
  </si>
  <si>
    <t>100 008</t>
  </si>
  <si>
    <t>100 004</t>
  </si>
  <si>
    <t>100 005</t>
  </si>
  <si>
    <t>100 010</t>
  </si>
  <si>
    <t>100 006</t>
  </si>
  <si>
    <t>100 007</t>
  </si>
  <si>
    <t>100 002</t>
  </si>
  <si>
    <t>100 011</t>
  </si>
  <si>
    <t>100 009</t>
  </si>
  <si>
    <t>100 012</t>
  </si>
  <si>
    <t>100 013</t>
  </si>
  <si>
    <t>100 003</t>
  </si>
  <si>
    <t>100 100</t>
  </si>
  <si>
    <t>100 104</t>
  </si>
  <si>
    <t>100 101</t>
  </si>
  <si>
    <t>100 200</t>
  </si>
  <si>
    <t>100 106</t>
  </si>
  <si>
    <t>100 201</t>
  </si>
  <si>
    <t>100 212</t>
  </si>
  <si>
    <t>100 209</t>
  </si>
  <si>
    <t>100 204</t>
  </si>
  <si>
    <t>100 210</t>
  </si>
  <si>
    <t>100 211</t>
  </si>
  <si>
    <t>100 221</t>
  </si>
  <si>
    <t>100 222</t>
  </si>
  <si>
    <t>100 223</t>
  </si>
  <si>
    <t>100 224</t>
  </si>
  <si>
    <t>100 225</t>
  </si>
  <si>
    <t>100 301</t>
  </si>
  <si>
    <t>100 302</t>
  </si>
  <si>
    <t>100 303</t>
  </si>
  <si>
    <t>100 304</t>
  </si>
  <si>
    <t>100 307</t>
  </si>
  <si>
    <t>100 308</t>
  </si>
  <si>
    <t>100 309</t>
  </si>
  <si>
    <t>100 310</t>
  </si>
  <si>
    <t>100 321</t>
  </si>
  <si>
    <t>100 401</t>
  </si>
  <si>
    <t>100 402</t>
  </si>
  <si>
    <t>101 000</t>
  </si>
  <si>
    <t>101 001</t>
  </si>
  <si>
    <t>101 003</t>
  </si>
  <si>
    <t>101 008</t>
  </si>
  <si>
    <t>101 011</t>
  </si>
  <si>
    <t>101 015</t>
  </si>
  <si>
    <t>101 002</t>
  </si>
  <si>
    <t>101 006</t>
  </si>
  <si>
    <t>101 007</t>
  </si>
  <si>
    <t>101 012</t>
  </si>
  <si>
    <t>101 013</t>
  </si>
  <si>
    <t>101 014</t>
  </si>
  <si>
    <t>101 009</t>
  </si>
  <si>
    <t>101 016</t>
  </si>
  <si>
    <t>104 001</t>
  </si>
  <si>
    <t>101 017</t>
  </si>
  <si>
    <t>101 018</t>
  </si>
  <si>
    <t>107 000</t>
  </si>
  <si>
    <t>107 001</t>
  </si>
  <si>
    <t>107 002</t>
  </si>
  <si>
    <t>107 003</t>
  </si>
  <si>
    <t>107 008</t>
  </si>
  <si>
    <t>107 009</t>
  </si>
  <si>
    <t>107 010</t>
  </si>
  <si>
    <t>107 006</t>
  </si>
  <si>
    <t>107 011</t>
  </si>
  <si>
    <t>107 012</t>
  </si>
  <si>
    <t>107 007</t>
  </si>
  <si>
    <t>107 013</t>
  </si>
  <si>
    <t>107 014</t>
  </si>
  <si>
    <t>109 001</t>
  </si>
  <si>
    <t>109 003</t>
  </si>
  <si>
    <t>Register BW UP 17_2024</t>
  </si>
  <si>
    <t>Register BW UP 22_2024</t>
  </si>
  <si>
    <t>Register HH UP 07_2024</t>
  </si>
  <si>
    <t>Register HH UP 13_2024</t>
  </si>
  <si>
    <t>Register NRW UP 01_2024</t>
  </si>
  <si>
    <t>Register NRW UP 08_2024</t>
  </si>
  <si>
    <t>Register NRW UP 15_2024</t>
  </si>
  <si>
    <t>Register NRW UP 21_2024</t>
  </si>
  <si>
    <t>Register NRW UP 19_2024</t>
  </si>
  <si>
    <t>Register NRW UP 18_2024</t>
  </si>
  <si>
    <t>Register BY UP 23_2024</t>
  </si>
  <si>
    <t>Register BY UP 24_2024</t>
  </si>
  <si>
    <t>Register BY UP 25_2024</t>
  </si>
  <si>
    <t>Umsetzungsprojekte Registermodernisierung</t>
  </si>
  <si>
    <t>Gesamtsteuerung Registermodernisierung, Personal- und Sachkosten Leitung</t>
  </si>
  <si>
    <t>Umsetzungsprojekte Registermodernisierung, Risikoaufschlag</t>
  </si>
  <si>
    <t>Digitalsierungsprojekte Schwerpunktthemen</t>
  </si>
  <si>
    <t>Nachnutzung EfA-Leistungen Fokusleistungen</t>
  </si>
  <si>
    <t>Nachnutzung EfA-Leistungen Förderales-Interesse</t>
  </si>
  <si>
    <t>100 014</t>
  </si>
  <si>
    <t>109 005</t>
  </si>
  <si>
    <r>
      <t xml:space="preserve">Organisation Schwerpunktthemen </t>
    </r>
    <r>
      <rPr>
        <b/>
        <sz val="12"/>
        <rFont val="Calibri"/>
        <family val="2"/>
        <scheme val="minor"/>
      </rPr>
      <t>Restmittel 2023</t>
    </r>
  </si>
  <si>
    <t>Anrechnung
ungebunde 
Reste 2021
Standards</t>
  </si>
  <si>
    <t>HHP</t>
  </si>
  <si>
    <t>Organisation Schwerpunktthemen</t>
  </si>
  <si>
    <t>Register BW UP 03_2024 (Erprobung Austausch Personalausweisregister)</t>
  </si>
  <si>
    <t>Digitalisierung der Beschaffung HB (MZ?)</t>
  </si>
  <si>
    <t>KollOM-FIT Kollob.Ontologieman. f. d. föderale IT (MZ?)</t>
  </si>
  <si>
    <t>Registermodernisierung</t>
  </si>
  <si>
    <t>XÖV-Suite Erweiterung</t>
  </si>
  <si>
    <t>XÖV lite</t>
  </si>
  <si>
    <t>ELFEConnect</t>
  </si>
  <si>
    <t>Evaluation AG RaBe</t>
  </si>
  <si>
    <t>Matching Rechtsbegriffe und Daten</t>
  </si>
  <si>
    <t>XRepository Sicherheit und Qualitätssicherung</t>
  </si>
  <si>
    <t>Konsolidierte Rechnungseingangsplattform</t>
  </si>
  <si>
    <t>Umsetzungsprojekt Pilot f.d. Datenabruf "Erweiterte Gehaltsdaten"…</t>
  </si>
  <si>
    <r>
      <t xml:space="preserve">Weiterentw. gem. Kompon. / </t>
    </r>
    <r>
      <rPr>
        <b/>
        <sz val="12"/>
        <rFont val="Calibri"/>
        <family val="2"/>
        <scheme val="minor"/>
      </rPr>
      <t>NEGATIVE PLANUNGSRESERVE</t>
    </r>
  </si>
  <si>
    <t>107 100</t>
  </si>
  <si>
    <t>Produktübergreifende Kosten</t>
  </si>
  <si>
    <t>Register NRW UP 00_2022 (Handelsregister, Erweiterung)</t>
  </si>
  <si>
    <t>Ungebundene Restmittel</t>
  </si>
  <si>
    <t>Hiervon aus 2023</t>
  </si>
  <si>
    <t>Unterjährige
Budgeterhöhung</t>
  </si>
  <si>
    <t>Efa Fokusleitungen Roll in</t>
  </si>
  <si>
    <t>Efa Fokusleitungen</t>
  </si>
  <si>
    <t>Anrechnung Zahlungsüber-schuss
2023</t>
  </si>
  <si>
    <t>FIT-Store
/ Ust</t>
  </si>
  <si>
    <t>Zahlungs-IST
Bund / Länder
inkl. Sitzlandqoute
23101, 23201, 23203</t>
  </si>
  <si>
    <t>Überzahlung
Bund / Länder
inkl. Sitzlandqoute</t>
  </si>
  <si>
    <t>EfA-
Nachnutzung
(25% / 75%)</t>
  </si>
  <si>
    <t>Zahlungs-SOLL
Bund / Länder
inkl. Sitzlandqoute
23101, 23201, 23203</t>
  </si>
  <si>
    <t>Hiervon aus 
geb. Mittel 2023</t>
  </si>
  <si>
    <t>Überzahlung / Übertrag Folgejahr</t>
  </si>
  <si>
    <t>Anrechnung
ungebundene
Reste 2022/2023</t>
  </si>
  <si>
    <t>Budget 2025
inkl. geb. Mittel</t>
  </si>
  <si>
    <t>Hiervon
Plan 2025</t>
  </si>
  <si>
    <t>Hiervon gebund. Mittel 2024</t>
  </si>
  <si>
    <t>Zahlungen 2025</t>
  </si>
  <si>
    <t>Hiervon aus 
geb. Mittel 2024</t>
  </si>
  <si>
    <t>Hiervon aus
 2025</t>
  </si>
  <si>
    <t>Gebundene
Mittel nach
 2026</t>
  </si>
  <si>
    <t>Hiervon aus
Budget 2025</t>
  </si>
  <si>
    <t>Hiervon aus 2024</t>
  </si>
  <si>
    <t>Hiervon 
aus 2025</t>
  </si>
  <si>
    <t>Ergebnis
2025</t>
  </si>
  <si>
    <t>Ergebnis 2025
inkl. gebund. Mittel</t>
  </si>
  <si>
    <t>Überzahlung
inkl. ungeb.
Reste 2025</t>
  </si>
  <si>
    <t>Rückzahlung
ungeb. Reste
2023 / 2024</t>
  </si>
  <si>
    <t>101 019</t>
  </si>
  <si>
    <t>101 020</t>
  </si>
  <si>
    <t>Entwicklung IT-Standards</t>
  </si>
  <si>
    <t>107 015</t>
  </si>
  <si>
    <t xml:space="preserve">Betrieb Deutsche Verwaltungscloud </t>
  </si>
  <si>
    <t>107 016</t>
  </si>
  <si>
    <t>Föderales Entwicklungsportal</t>
  </si>
  <si>
    <t>Register FITKO UP 27_2024 Reallabor Entw. dezentr. Cloudregister</t>
  </si>
  <si>
    <t>Register BW NOOTS UseCase Nachweis KBA_Bew.parkausweis</t>
  </si>
  <si>
    <t>Register FITKO UP 27_2024</t>
  </si>
  <si>
    <t>NOOTS - Fachliche Koordinierungsstelle (FITKO)</t>
  </si>
  <si>
    <t>NOOTS - Betriebsverantwortliche Stelle (BVA)</t>
  </si>
  <si>
    <t>109 006</t>
  </si>
  <si>
    <t>Portfoliomanagement</t>
  </si>
  <si>
    <t>108 201</t>
  </si>
  <si>
    <t>108 202</t>
  </si>
  <si>
    <t>108 203</t>
  </si>
  <si>
    <t>108 205</t>
  </si>
  <si>
    <t>108 206</t>
  </si>
  <si>
    <t>108 207</t>
  </si>
  <si>
    <t>108 208</t>
  </si>
  <si>
    <t>108 209</t>
  </si>
  <si>
    <t>108 210</t>
  </si>
  <si>
    <t>548 06</t>
  </si>
  <si>
    <t>108 211</t>
  </si>
  <si>
    <t>549 06</t>
  </si>
  <si>
    <t>108 212</t>
  </si>
  <si>
    <t>550 06</t>
  </si>
  <si>
    <t>108 213</t>
  </si>
  <si>
    <t>551 06</t>
  </si>
  <si>
    <t>108 214</t>
  </si>
  <si>
    <t>108 215</t>
  </si>
  <si>
    <t>108 216</t>
  </si>
  <si>
    <t>108 217</t>
  </si>
  <si>
    <t xml:space="preserve">108 218 </t>
  </si>
  <si>
    <t>108 219</t>
  </si>
  <si>
    <t>108 220</t>
  </si>
  <si>
    <t>108 221</t>
  </si>
  <si>
    <t>108 222</t>
  </si>
  <si>
    <t>108 223</t>
  </si>
  <si>
    <t>108 224</t>
  </si>
  <si>
    <t>108 225</t>
  </si>
  <si>
    <t>108 226</t>
  </si>
  <si>
    <t>108 227</t>
  </si>
  <si>
    <t>552 06</t>
  </si>
  <si>
    <t>Machbarkeitsstudie KI-Plattform</t>
  </si>
  <si>
    <t xml:space="preserve">KI Assistenz zur Beantragung von Wohngeld </t>
  </si>
  <si>
    <t>EfA-Fokusleistung Digitale Baugenehmigung</t>
  </si>
  <si>
    <t>Post-Quanten-Kryptografie  Governikus</t>
  </si>
  <si>
    <t>Vorprojekt Datenlandkarte föderal</t>
  </si>
  <si>
    <t>ProAIT Prozess-Analytik Intell. Wissenstransfer</t>
  </si>
  <si>
    <t>Vorprojekt Deutschland Architektur</t>
  </si>
  <si>
    <t>Datenschutzmanagement</t>
  </si>
  <si>
    <t>Neuordnung Vollzug elektr. Verwaltungsleistungen</t>
  </si>
  <si>
    <t>KI-Assistenz Dig. Führerscheinantrag</t>
  </si>
  <si>
    <t xml:space="preserve">Föderaler Kollaborations-Hub  Netzinfrastrukturen </t>
  </si>
  <si>
    <t>Dig. Gründungsprozess (EfA: SW as a service)</t>
  </si>
  <si>
    <t>Machbarkeitsstudie Aufbau föd. Antragsplattform</t>
  </si>
  <si>
    <t>IDA-Anbindung von Sozialregistern</t>
  </si>
  <si>
    <t>Dig.Pflanzenschutz-Daten-Erfassung (DiPAgE)</t>
  </si>
  <si>
    <t xml:space="preserve"> Infrastructure-as-Code Blaupausen</t>
  </si>
  <si>
    <t>SAM - Security Automation &amp; Management</t>
  </si>
  <si>
    <t>LLM-basierter Wegweiser als Digitaler Assistent</t>
  </si>
  <si>
    <t>Konzeption eines dig. Schwerbehindertenausweises</t>
  </si>
  <si>
    <t>Szenariobasierte Risikoanalyse</t>
  </si>
  <si>
    <t>Digitaltaugliche Verwaltungsvorschriften</t>
  </si>
  <si>
    <t xml:space="preserve">Digitaler Zwilling für die Kommunale Wärmeplanung </t>
  </si>
  <si>
    <t>Föderale API-Autorisierungsinfrastruktur</t>
  </si>
  <si>
    <t>Online-Lernen / eGov-Campus Weiterbildung</t>
  </si>
  <si>
    <t>Sonstige Zuweisungen von Ländern, zusätzliche Einnahmen -EfA-Finanzierung</t>
  </si>
  <si>
    <t>108 300</t>
  </si>
  <si>
    <t>108 301</t>
  </si>
  <si>
    <t>108 302</t>
  </si>
  <si>
    <t>108 303</t>
  </si>
  <si>
    <t>108 304</t>
  </si>
  <si>
    <t>108 305</t>
  </si>
  <si>
    <t>Steuerungsgruppe Föderale Digitalstrategie</t>
  </si>
  <si>
    <t>Schwerpunkt HH - Datennutung und -schutz</t>
  </si>
  <si>
    <t>Schwerpunkt HB - Digitale Anwendung</t>
  </si>
  <si>
    <t>Schwerpunkt HE - Digitale Infrastruktur</t>
  </si>
  <si>
    <t>Schwerpunkt ST - Digitale Transformation</t>
  </si>
  <si>
    <t>Schwerpunkt BUND - Informationssicherheit</t>
  </si>
  <si>
    <t>Bund 35 %
Länder 65 % 
Königst.Schlüssel
(Ex-Digibudget)</t>
  </si>
  <si>
    <t xml:space="preserve">
Königst.Schlüssel
 115</t>
  </si>
  <si>
    <t>Verwaltungs-
kosten
(10/22,5/67,5%)</t>
  </si>
  <si>
    <t>Standards
( 25% / 75% )</t>
  </si>
  <si>
    <t>GovData
(sep. Schlüssel)</t>
  </si>
  <si>
    <t>115
(sep.
Schlüssel)</t>
  </si>
  <si>
    <t>Daueraufgaben
ohne EfA-Nachnutzung
( 25% / 75% )</t>
  </si>
  <si>
    <t>EfA-
Nachnutzung
(25% / 25%)</t>
  </si>
  <si>
    <t>Gebühreneinn.
Verwaltungs
-einnahmen
11101, 16101</t>
  </si>
  <si>
    <t>Zahlungsbetrag 
Länder
EfA-Finanzierung
23205</t>
  </si>
  <si>
    <r>
      <t xml:space="preserve">Königsteiner Schlüssel
</t>
    </r>
    <r>
      <rPr>
        <b/>
        <sz val="12"/>
        <rFont val="Arial"/>
        <family val="2"/>
      </rPr>
      <t>2019</t>
    </r>
  </si>
  <si>
    <t>Ungebundene
Reste aus
JA 2024</t>
  </si>
  <si>
    <t>Zahlungsüber-
schuss aus 2024</t>
  </si>
  <si>
    <t>Ist Zahlung 2025</t>
  </si>
  <si>
    <t>Ungebundene Reste VJ</t>
  </si>
  <si>
    <t>Summe
Ausgaben
inklusive
FIT-Store</t>
  </si>
  <si>
    <t>Summe
Ausgaben
ohne
FIT-Store</t>
  </si>
  <si>
    <t>Anrechenbarer Betrag in 2026</t>
  </si>
  <si>
    <t xml:space="preserve">Überzahlung
2025 </t>
  </si>
  <si>
    <t>Korrektur FIT-Store (Egebnis)</t>
  </si>
  <si>
    <t>Zahlungsbetrag
SOLL
Bund / Länder
inkl. Sitzlandquote
23101, 23201, 23203
ohne EfA-Ant. Länder</t>
  </si>
  <si>
    <t>Hiervon gebund. Mittel 2022/2023</t>
  </si>
  <si>
    <t>232 05</t>
  </si>
  <si>
    <t xml:space="preserve">Umsetzungsprojekte Registermodernisierung, ohne Risikoaufschlag  </t>
  </si>
  <si>
    <t>GovTeuken*</t>
  </si>
  <si>
    <t>Unternehmensanmeldung und –genehmigung*</t>
  </si>
  <si>
    <t>Register NRW UP 14_2024*</t>
  </si>
  <si>
    <t>*= Korrekturen durch Zahlungsumbuchungen wegen fehlerhafter Zuordnung zu Haushaltsprogrammen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</si>
</sst>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_ ;\-#,##0\ "/>
    <numFmt numFmtId="166" formatCode="#,##0\ &quot;€&quot;"/>
    <numFmt numFmtId="167" formatCode="0.0000000%"/>
    <numFmt numFmtId="168" formatCode="0.00000%"/>
    <numFmt numFmtId="169" formatCode="###\ ###"/>
  </numFmts>
  <fonts count="3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rgb="FF00B050"/>
      <name val="Arial"/>
      <family val="2"/>
    </font>
    <font>
      <sz val="12"/>
      <name val="Arial"/>
      <family val="2"/>
    </font>
    <font>
      <b/>
      <sz val="12"/>
      <color rgb="FF00B050"/>
      <name val="Arial"/>
      <family val="2"/>
    </font>
    <font>
      <b/>
      <sz val="12"/>
      <name val="Arial"/>
      <family val="2"/>
    </font>
    <font>
      <b/>
      <sz val="12"/>
      <color theme="0" tint="-0.499984740745262"/>
      <name val="Arial"/>
      <family val="2"/>
    </font>
    <font>
      <i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u/>
      <sz val="12"/>
      <name val="Arial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Segoe UI"/>
      <family val="2"/>
    </font>
    <font>
      <b/>
      <sz val="36"/>
      <color theme="1"/>
      <name val="Arial"/>
      <family val="2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5862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11" fillId="0" borderId="0"/>
    <xf numFmtId="0" fontId="12" fillId="0" borderId="0"/>
    <xf numFmtId="43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43" fontId="1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5" fillId="0" borderId="0"/>
    <xf numFmtId="44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380">
    <xf numFmtId="0" fontId="0" fillId="0" borderId="0" xfId="0"/>
    <xf numFmtId="0" fontId="9" fillId="0" borderId="0" xfId="6"/>
    <xf numFmtId="0" fontId="22" fillId="0" borderId="0" xfId="6" applyFont="1"/>
    <xf numFmtId="0" fontId="21" fillId="4" borderId="4" xfId="6" applyFont="1" applyFill="1" applyBorder="1"/>
    <xf numFmtId="0" fontId="24" fillId="0" borderId="2" xfId="6" applyFont="1" applyBorder="1"/>
    <xf numFmtId="0" fontId="21" fillId="0" borderId="0" xfId="6" applyFont="1"/>
    <xf numFmtId="0" fontId="21" fillId="0" borderId="4" xfId="6" applyFont="1" applyBorder="1" applyAlignment="1">
      <alignment horizontal="center" vertical="center" wrapText="1"/>
    </xf>
    <xf numFmtId="0" fontId="21" fillId="4" borderId="4" xfId="6" applyFont="1" applyFill="1" applyBorder="1" applyAlignment="1">
      <alignment horizontal="center" vertical="center" wrapText="1"/>
    </xf>
    <xf numFmtId="0" fontId="21" fillId="3" borderId="4" xfId="6" applyFont="1" applyFill="1" applyBorder="1" applyAlignment="1">
      <alignment horizontal="center" vertical="center" wrapText="1"/>
    </xf>
    <xf numFmtId="0" fontId="21" fillId="0" borderId="0" xfId="6" applyFont="1" applyAlignment="1">
      <alignment horizontal="center" vertical="center" wrapText="1"/>
    </xf>
    <xf numFmtId="0" fontId="9" fillId="4" borderId="6" xfId="6" applyFill="1" applyBorder="1" applyAlignment="1">
      <alignment horizontal="right" vertical="center" wrapText="1"/>
    </xf>
    <xf numFmtId="0" fontId="9" fillId="0" borderId="0" xfId="6" applyAlignment="1">
      <alignment horizontal="right" vertical="center" wrapText="1"/>
    </xf>
    <xf numFmtId="166" fontId="9" fillId="0" borderId="0" xfId="6" applyNumberFormat="1"/>
    <xf numFmtId="0" fontId="26" fillId="0" borderId="0" xfId="6" applyFont="1" applyAlignment="1">
      <alignment vertical="center"/>
    </xf>
    <xf numFmtId="166" fontId="26" fillId="0" borderId="0" xfId="6" applyNumberFormat="1" applyFont="1" applyAlignment="1">
      <alignment horizontal="center" vertical="center"/>
    </xf>
    <xf numFmtId="0" fontId="26" fillId="0" borderId="0" xfId="6" applyFont="1" applyAlignment="1">
      <alignment horizontal="center" vertical="center"/>
    </xf>
    <xf numFmtId="166" fontId="21" fillId="0" borderId="0" xfId="6" applyNumberFormat="1" applyFont="1"/>
    <xf numFmtId="0" fontId="20" fillId="0" borderId="0" xfId="6" applyFont="1"/>
    <xf numFmtId="10" fontId="22" fillId="0" borderId="0" xfId="6" applyNumberFormat="1" applyFont="1"/>
    <xf numFmtId="0" fontId="21" fillId="0" borderId="5" xfId="6" applyFont="1" applyBorder="1" applyAlignment="1">
      <alignment wrapText="1"/>
    </xf>
    <xf numFmtId="0" fontId="25" fillId="3" borderId="2" xfId="6" applyFont="1" applyFill="1" applyBorder="1"/>
    <xf numFmtId="0" fontId="9" fillId="0" borderId="3" xfId="6" applyBorder="1"/>
    <xf numFmtId="3" fontId="9" fillId="0" borderId="0" xfId="6" applyNumberFormat="1"/>
    <xf numFmtId="0" fontId="9" fillId="0" borderId="0" xfId="6" applyAlignment="1">
      <alignment horizontal="right"/>
    </xf>
    <xf numFmtId="167" fontId="9" fillId="4" borderId="1" xfId="6" applyNumberFormat="1" applyFill="1" applyBorder="1" applyAlignment="1">
      <alignment horizontal="right" vertical="center"/>
    </xf>
    <xf numFmtId="166" fontId="9" fillId="0" borderId="1" xfId="6" applyNumberFormat="1" applyBorder="1" applyAlignment="1">
      <alignment horizontal="right" vertical="center"/>
    </xf>
    <xf numFmtId="166" fontId="9" fillId="3" borderId="1" xfId="6" applyNumberFormat="1" applyFill="1" applyBorder="1" applyAlignment="1">
      <alignment horizontal="right" vertical="center"/>
    </xf>
    <xf numFmtId="167" fontId="9" fillId="4" borderId="4" xfId="6" applyNumberFormat="1" applyFill="1" applyBorder="1" applyAlignment="1">
      <alignment horizontal="right" vertical="center"/>
    </xf>
    <xf numFmtId="166" fontId="21" fillId="0" borderId="4" xfId="6" applyNumberFormat="1" applyFont="1" applyBorder="1" applyAlignment="1">
      <alignment horizontal="right" vertical="center"/>
    </xf>
    <xf numFmtId="166" fontId="21" fillId="3" borderId="4" xfId="6" applyNumberFormat="1" applyFont="1" applyFill="1" applyBorder="1" applyAlignment="1">
      <alignment horizontal="right" vertical="center"/>
    </xf>
    <xf numFmtId="166" fontId="21" fillId="0" borderId="6" xfId="6" applyNumberFormat="1" applyFont="1" applyBorder="1" applyAlignment="1">
      <alignment horizontal="right" vertical="center" wrapText="1"/>
    </xf>
    <xf numFmtId="166" fontId="25" fillId="3" borderId="6" xfId="6" applyNumberFormat="1" applyFont="1" applyFill="1" applyBorder="1" applyAlignment="1">
      <alignment horizontal="right" vertical="center" wrapText="1"/>
    </xf>
    <xf numFmtId="0" fontId="21" fillId="0" borderId="4" xfId="6" applyFont="1" applyBorder="1" applyAlignment="1">
      <alignment horizontal="center" wrapText="1"/>
    </xf>
    <xf numFmtId="166" fontId="23" fillId="0" borderId="1" xfId="6" applyNumberFormat="1" applyFont="1" applyBorder="1" applyAlignment="1">
      <alignment horizontal="right" vertical="center"/>
    </xf>
    <xf numFmtId="0" fontId="25" fillId="0" borderId="2" xfId="6" applyFont="1" applyBorder="1" applyAlignment="1">
      <alignment horizontal="center" vertical="center" wrapText="1"/>
    </xf>
    <xf numFmtId="166" fontId="25" fillId="0" borderId="7" xfId="6" applyNumberFormat="1" applyFont="1" applyBorder="1" applyAlignment="1">
      <alignment horizontal="right" vertical="center" wrapText="1"/>
    </xf>
    <xf numFmtId="166" fontId="25" fillId="0" borderId="2" xfId="6" applyNumberFormat="1" applyFont="1" applyBorder="1" applyAlignment="1">
      <alignment horizontal="right" vertical="center"/>
    </xf>
    <xf numFmtId="167" fontId="9" fillId="0" borderId="4" xfId="6" applyNumberFormat="1" applyBorder="1" applyAlignment="1">
      <alignment horizontal="right" vertical="center"/>
    </xf>
    <xf numFmtId="0" fontId="25" fillId="3" borderId="2" xfId="6" applyFont="1" applyFill="1" applyBorder="1" applyAlignment="1">
      <alignment horizontal="center" vertical="center" wrapText="1"/>
    </xf>
    <xf numFmtId="166" fontId="23" fillId="0" borderId="8" xfId="6" applyNumberFormat="1" applyFont="1" applyBorder="1" applyAlignment="1">
      <alignment horizontal="right" vertical="center"/>
    </xf>
    <xf numFmtId="166" fontId="23" fillId="3" borderId="8" xfId="6" applyNumberFormat="1" applyFont="1" applyFill="1" applyBorder="1" applyAlignment="1">
      <alignment horizontal="right" vertical="center"/>
    </xf>
    <xf numFmtId="166" fontId="25" fillId="3" borderId="2" xfId="6" applyNumberFormat="1" applyFont="1" applyFill="1" applyBorder="1" applyAlignment="1">
      <alignment horizontal="right" vertical="center"/>
    </xf>
    <xf numFmtId="0" fontId="26" fillId="0" borderId="0" xfId="6" applyFont="1" applyAlignment="1">
      <alignment horizontal="right" vertical="center"/>
    </xf>
    <xf numFmtId="0" fontId="21" fillId="0" borderId="9" xfId="6" applyFont="1" applyBorder="1" applyAlignment="1">
      <alignment horizontal="center" vertical="center"/>
    </xf>
    <xf numFmtId="0" fontId="21" fillId="0" borderId="10" xfId="6" applyFont="1" applyBorder="1"/>
    <xf numFmtId="0" fontId="21" fillId="0" borderId="10" xfId="6" applyFont="1" applyBorder="1" applyAlignment="1">
      <alignment horizontal="center" vertical="center" wrapText="1"/>
    </xf>
    <xf numFmtId="0" fontId="9" fillId="0" borderId="11" xfId="6" applyBorder="1" applyAlignment="1">
      <alignment horizontal="right" vertical="center" wrapText="1"/>
    </xf>
    <xf numFmtId="0" fontId="21" fillId="0" borderId="12" xfId="6" applyFont="1" applyBorder="1" applyAlignment="1">
      <alignment horizontal="right" vertical="center"/>
    </xf>
    <xf numFmtId="0" fontId="21" fillId="0" borderId="10" xfId="6" applyFont="1" applyBorder="1" applyAlignment="1">
      <alignment horizontal="right" vertical="center"/>
    </xf>
    <xf numFmtId="0" fontId="25" fillId="0" borderId="10" xfId="6" applyFont="1" applyBorder="1" applyAlignment="1">
      <alignment horizontal="right" vertical="center"/>
    </xf>
    <xf numFmtId="0" fontId="25" fillId="0" borderId="13" xfId="6" applyFont="1" applyBorder="1" applyAlignment="1">
      <alignment horizontal="right" vertical="center"/>
    </xf>
    <xf numFmtId="0" fontId="21" fillId="0" borderId="16" xfId="6" applyFont="1" applyBorder="1"/>
    <xf numFmtId="0" fontId="21" fillId="0" borderId="16" xfId="6" applyFont="1" applyBorder="1" applyAlignment="1">
      <alignment horizontal="center" vertical="center" wrapText="1"/>
    </xf>
    <xf numFmtId="0" fontId="9" fillId="0" borderId="18" xfId="6" applyBorder="1" applyAlignment="1">
      <alignment horizontal="right" vertical="center" wrapText="1"/>
    </xf>
    <xf numFmtId="167" fontId="9" fillId="0" borderId="20" xfId="6" applyNumberFormat="1" applyBorder="1" applyAlignment="1">
      <alignment horizontal="right" vertical="center"/>
    </xf>
    <xf numFmtId="168" fontId="9" fillId="0" borderId="16" xfId="6" applyNumberFormat="1" applyBorder="1" applyAlignment="1">
      <alignment horizontal="right" vertical="center"/>
    </xf>
    <xf numFmtId="167" fontId="9" fillId="0" borderId="16" xfId="6" applyNumberFormat="1" applyBorder="1" applyAlignment="1">
      <alignment horizontal="right" vertical="center"/>
    </xf>
    <xf numFmtId="9" fontId="21" fillId="4" borderId="22" xfId="6" applyNumberFormat="1" applyFont="1" applyFill="1" applyBorder="1" applyAlignment="1">
      <alignment horizontal="right" vertical="center"/>
    </xf>
    <xf numFmtId="10" fontId="21" fillId="4" borderId="23" xfId="6" applyNumberFormat="1" applyFont="1" applyFill="1" applyBorder="1" applyAlignment="1">
      <alignment horizontal="right" vertical="center"/>
    </xf>
    <xf numFmtId="0" fontId="24" fillId="0" borderId="16" xfId="6" applyFont="1" applyBorder="1"/>
    <xf numFmtId="0" fontId="21" fillId="0" borderId="25" xfId="6" applyFont="1" applyBorder="1"/>
    <xf numFmtId="0" fontId="25" fillId="0" borderId="16" xfId="6" applyFont="1" applyBorder="1" applyAlignment="1">
      <alignment horizontal="center" vertical="center" wrapText="1"/>
    </xf>
    <xf numFmtId="166" fontId="25" fillId="0" borderId="18" xfId="6" applyNumberFormat="1" applyFont="1" applyBorder="1" applyAlignment="1">
      <alignment horizontal="right" vertical="center" wrapText="1"/>
    </xf>
    <xf numFmtId="166" fontId="23" fillId="0" borderId="20" xfId="6" applyNumberFormat="1" applyFont="1" applyBorder="1" applyAlignment="1">
      <alignment horizontal="right" vertical="center"/>
    </xf>
    <xf numFmtId="166" fontId="23" fillId="0" borderId="27" xfId="6" applyNumberFormat="1" applyFont="1" applyBorder="1" applyAlignment="1">
      <alignment horizontal="right" vertical="center"/>
    </xf>
    <xf numFmtId="166" fontId="25" fillId="0" borderId="16" xfId="6" applyNumberFormat="1" applyFont="1" applyBorder="1" applyAlignment="1">
      <alignment horizontal="right" vertical="center"/>
    </xf>
    <xf numFmtId="166" fontId="25" fillId="0" borderId="23" xfId="6" applyNumberFormat="1" applyFont="1" applyBorder="1" applyAlignment="1">
      <alignment horizontal="center" vertical="center"/>
    </xf>
    <xf numFmtId="0" fontId="21" fillId="0" borderId="17" xfId="6" applyFont="1" applyBorder="1"/>
    <xf numFmtId="0" fontId="21" fillId="0" borderId="17" xfId="6" applyFont="1" applyBorder="1" applyAlignment="1">
      <alignment horizontal="center" vertical="center" wrapText="1"/>
    </xf>
    <xf numFmtId="166" fontId="21" fillId="0" borderId="19" xfId="6" applyNumberFormat="1" applyFont="1" applyBorder="1" applyAlignment="1">
      <alignment horizontal="right" vertical="center"/>
    </xf>
    <xf numFmtId="0" fontId="15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 wrapText="1"/>
    </xf>
    <xf numFmtId="3" fontId="16" fillId="2" borderId="4" xfId="1" applyNumberFormat="1" applyFont="1" applyFill="1" applyBorder="1" applyAlignment="1">
      <alignment horizontal="right" vertical="center"/>
    </xf>
    <xf numFmtId="0" fontId="16" fillId="0" borderId="4" xfId="1" applyFont="1" applyBorder="1" applyAlignment="1">
      <alignment horizontal="left" vertical="center"/>
    </xf>
    <xf numFmtId="4" fontId="17" fillId="0" borderId="0" xfId="1" applyNumberFormat="1" applyFont="1" applyAlignment="1">
      <alignment vertical="center"/>
    </xf>
    <xf numFmtId="165" fontId="16" fillId="0" borderId="0" xfId="1" applyNumberFormat="1" applyFont="1" applyAlignment="1">
      <alignment horizontal="right" vertical="center"/>
    </xf>
    <xf numFmtId="0" fontId="16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49" fontId="14" fillId="0" borderId="31" xfId="1" applyNumberFormat="1" applyFont="1" applyBorder="1" applyAlignment="1">
      <alignment vertical="center"/>
    </xf>
    <xf numFmtId="49" fontId="13" fillId="0" borderId="33" xfId="1" applyNumberFormat="1" applyFont="1" applyBorder="1" applyAlignment="1">
      <alignment vertical="center"/>
    </xf>
    <xf numFmtId="0" fontId="15" fillId="0" borderId="0" xfId="1" applyFont="1" applyAlignment="1">
      <alignment horizontal="center" vertical="center"/>
    </xf>
    <xf numFmtId="49" fontId="15" fillId="0" borderId="33" xfId="1" applyNumberFormat="1" applyFont="1" applyBorder="1" applyAlignment="1">
      <alignment vertical="center"/>
    </xf>
    <xf numFmtId="49" fontId="17" fillId="0" borderId="33" xfId="1" applyNumberFormat="1" applyFont="1" applyBorder="1" applyAlignment="1">
      <alignment vertical="center"/>
    </xf>
    <xf numFmtId="49" fontId="16" fillId="0" borderId="33" xfId="1" applyNumberFormat="1" applyFont="1" applyBorder="1" applyAlignment="1">
      <alignment vertical="center"/>
    </xf>
    <xf numFmtId="0" fontId="19" fillId="0" borderId="0" xfId="1" applyFont="1" applyAlignment="1">
      <alignment horizontal="center" vertical="center"/>
    </xf>
    <xf numFmtId="3" fontId="16" fillId="0" borderId="0" xfId="1" applyNumberFormat="1" applyFont="1" applyAlignment="1">
      <alignment horizontal="right" vertical="center"/>
    </xf>
    <xf numFmtId="0" fontId="16" fillId="0" borderId="33" xfId="1" applyFont="1" applyBorder="1" applyAlignment="1">
      <alignment horizontal="left" vertical="center"/>
    </xf>
    <xf numFmtId="49" fontId="16" fillId="0" borderId="33" xfId="1" applyNumberFormat="1" applyFont="1" applyBorder="1" applyAlignment="1">
      <alignment horizontal="left" vertical="center"/>
    </xf>
    <xf numFmtId="49" fontId="18" fillId="0" borderId="33" xfId="1" applyNumberFormat="1" applyFont="1" applyBorder="1" applyAlignment="1">
      <alignment horizontal="left" vertical="center"/>
    </xf>
    <xf numFmtId="0" fontId="18" fillId="0" borderId="0" xfId="1" applyFont="1" applyAlignment="1">
      <alignment horizontal="left" vertical="center"/>
    </xf>
    <xf numFmtId="3" fontId="16" fillId="0" borderId="33" xfId="1" applyNumberFormat="1" applyFont="1" applyBorder="1" applyAlignment="1">
      <alignment vertical="center"/>
    </xf>
    <xf numFmtId="0" fontId="18" fillId="2" borderId="33" xfId="1" applyFont="1" applyFill="1" applyBorder="1" applyAlignment="1">
      <alignment vertical="center"/>
    </xf>
    <xf numFmtId="0" fontId="16" fillId="2" borderId="33" xfId="1" applyFont="1" applyFill="1" applyBorder="1" applyAlignment="1">
      <alignment horizontal="center" vertical="center" wrapText="1"/>
    </xf>
    <xf numFmtId="0" fontId="18" fillId="2" borderId="33" xfId="1" applyFont="1" applyFill="1" applyBorder="1" applyAlignment="1">
      <alignment horizontal="left" vertical="center"/>
    </xf>
    <xf numFmtId="0" fontId="16" fillId="2" borderId="33" xfId="1" applyFont="1" applyFill="1" applyBorder="1" applyAlignment="1">
      <alignment horizontal="center" vertical="center"/>
    </xf>
    <xf numFmtId="0" fontId="16" fillId="2" borderId="33" xfId="1" applyFont="1" applyFill="1" applyBorder="1" applyAlignment="1">
      <alignment vertical="center"/>
    </xf>
    <xf numFmtId="0" fontId="16" fillId="2" borderId="34" xfId="0" applyFont="1" applyFill="1" applyBorder="1" applyAlignment="1">
      <alignment vertical="center"/>
    </xf>
    <xf numFmtId="49" fontId="15" fillId="0" borderId="35" xfId="1" applyNumberFormat="1" applyFont="1" applyBorder="1" applyAlignment="1">
      <alignment horizontal="center" vertical="center"/>
    </xf>
    <xf numFmtId="49" fontId="16" fillId="0" borderId="35" xfId="1" applyNumberFormat="1" applyFont="1" applyBorder="1" applyAlignment="1">
      <alignment vertical="center"/>
    </xf>
    <xf numFmtId="49" fontId="16" fillId="0" borderId="35" xfId="1" applyNumberFormat="1" applyFont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8" fillId="5" borderId="4" xfId="1" applyFont="1" applyFill="1" applyBorder="1" applyAlignment="1">
      <alignment vertical="center" wrapText="1"/>
    </xf>
    <xf numFmtId="0" fontId="16" fillId="0" borderId="4" xfId="1" applyFont="1" applyBorder="1" applyAlignment="1">
      <alignment vertical="center" wrapText="1"/>
    </xf>
    <xf numFmtId="0" fontId="16" fillId="0" borderId="4" xfId="1" applyFont="1" applyBorder="1" applyAlignment="1">
      <alignment vertical="center"/>
    </xf>
    <xf numFmtId="0" fontId="16" fillId="5" borderId="35" xfId="1" applyFont="1" applyFill="1" applyBorder="1" applyAlignment="1">
      <alignment horizontal="left" vertical="center"/>
    </xf>
    <xf numFmtId="0" fontId="27" fillId="0" borderId="4" xfId="1" applyFont="1" applyBorder="1" applyAlignment="1">
      <alignment vertical="center" wrapText="1"/>
    </xf>
    <xf numFmtId="0" fontId="17" fillId="0" borderId="4" xfId="1" applyFont="1" applyBorder="1" applyAlignment="1">
      <alignment vertical="center" wrapText="1"/>
    </xf>
    <xf numFmtId="3" fontId="16" fillId="2" borderId="4" xfId="3" applyNumberFormat="1" applyFont="1" applyFill="1" applyBorder="1" applyAlignment="1" applyProtection="1">
      <alignment horizontal="right" vertical="center"/>
    </xf>
    <xf numFmtId="0" fontId="16" fillId="0" borderId="35" xfId="0" applyFont="1" applyBorder="1" applyAlignment="1" applyProtection="1">
      <alignment vertical="top"/>
      <protection locked="0"/>
    </xf>
    <xf numFmtId="0" fontId="18" fillId="2" borderId="37" xfId="1" applyFont="1" applyFill="1" applyBorder="1" applyAlignment="1">
      <alignment vertical="center"/>
    </xf>
    <xf numFmtId="0" fontId="16" fillId="2" borderId="38" xfId="1" applyFont="1" applyFill="1" applyBorder="1" applyAlignment="1">
      <alignment vertical="center"/>
    </xf>
    <xf numFmtId="0" fontId="16" fillId="2" borderId="4" xfId="1" applyFont="1" applyFill="1" applyBorder="1" applyAlignment="1">
      <alignment vertical="center" wrapText="1"/>
    </xf>
    <xf numFmtId="0" fontId="18" fillId="2" borderId="4" xfId="1" applyFont="1" applyFill="1" applyBorder="1" applyAlignment="1">
      <alignment horizontal="left" vertical="center"/>
    </xf>
    <xf numFmtId="0" fontId="16" fillId="2" borderId="4" xfId="1" applyFont="1" applyFill="1" applyBorder="1" applyAlignment="1">
      <alignment vertical="center"/>
    </xf>
    <xf numFmtId="0" fontId="16" fillId="2" borderId="36" xfId="0" applyFont="1" applyFill="1" applyBorder="1" applyAlignment="1">
      <alignment vertical="center"/>
    </xf>
    <xf numFmtId="0" fontId="16" fillId="2" borderId="4" xfId="1" applyFont="1" applyFill="1" applyBorder="1" applyAlignment="1">
      <alignment horizontal="left" vertical="center"/>
    </xf>
    <xf numFmtId="3" fontId="18" fillId="2" borderId="4" xfId="1" applyNumberFormat="1" applyFont="1" applyFill="1" applyBorder="1" applyAlignment="1">
      <alignment horizontal="right" vertical="center"/>
    </xf>
    <xf numFmtId="3" fontId="16" fillId="2" borderId="37" xfId="1" applyNumberFormat="1" applyFont="1" applyFill="1" applyBorder="1" applyAlignment="1">
      <alignment horizontal="right" vertical="center"/>
    </xf>
    <xf numFmtId="3" fontId="18" fillId="2" borderId="4" xfId="3" applyNumberFormat="1" applyFont="1" applyFill="1" applyBorder="1" applyAlignment="1" applyProtection="1">
      <alignment horizontal="right" vertical="center"/>
    </xf>
    <xf numFmtId="3" fontId="16" fillId="2" borderId="38" xfId="1" applyNumberFormat="1" applyFont="1" applyFill="1" applyBorder="1" applyAlignment="1">
      <alignment horizontal="right" vertical="center"/>
    </xf>
    <xf numFmtId="3" fontId="17" fillId="2" borderId="36" xfId="0" applyNumberFormat="1" applyFont="1" applyFill="1" applyBorder="1" applyAlignment="1">
      <alignment horizontal="right" vertical="center"/>
    </xf>
    <xf numFmtId="166" fontId="24" fillId="0" borderId="0" xfId="6" applyNumberFormat="1" applyFont="1" applyAlignment="1">
      <alignment horizontal="center" vertical="center"/>
    </xf>
    <xf numFmtId="0" fontId="25" fillId="3" borderId="4" xfId="6" applyFont="1" applyFill="1" applyBorder="1" applyAlignment="1">
      <alignment horizontal="center" vertical="center" wrapText="1"/>
    </xf>
    <xf numFmtId="166" fontId="23" fillId="3" borderId="1" xfId="6" applyNumberFormat="1" applyFont="1" applyFill="1" applyBorder="1" applyAlignment="1">
      <alignment horizontal="right" vertical="center"/>
    </xf>
    <xf numFmtId="166" fontId="25" fillId="3" borderId="4" xfId="6" applyNumberFormat="1" applyFont="1" applyFill="1" applyBorder="1" applyAlignment="1">
      <alignment horizontal="right" vertical="center"/>
    </xf>
    <xf numFmtId="166" fontId="21" fillId="0" borderId="4" xfId="6" applyNumberFormat="1" applyFont="1" applyBorder="1" applyAlignment="1">
      <alignment vertical="center"/>
    </xf>
    <xf numFmtId="166" fontId="25" fillId="0" borderId="26" xfId="6" applyNumberFormat="1" applyFont="1" applyBorder="1" applyAlignment="1">
      <alignment vertical="center"/>
    </xf>
    <xf numFmtId="166" fontId="25" fillId="0" borderId="23" xfId="6" applyNumberFormat="1" applyFont="1" applyBorder="1" applyAlignment="1">
      <alignment vertical="center"/>
    </xf>
    <xf numFmtId="166" fontId="24" fillId="0" borderId="0" xfId="6" applyNumberFormat="1" applyFont="1" applyAlignment="1">
      <alignment vertical="center"/>
    </xf>
    <xf numFmtId="0" fontId="21" fillId="0" borderId="3" xfId="6" applyFont="1" applyBorder="1" applyAlignment="1">
      <alignment horizontal="center" wrapText="1"/>
    </xf>
    <xf numFmtId="0" fontId="21" fillId="0" borderId="3" xfId="6" applyFont="1" applyBorder="1" applyAlignment="1">
      <alignment horizontal="center" vertical="center" wrapText="1"/>
    </xf>
    <xf numFmtId="166" fontId="9" fillId="0" borderId="40" xfId="6" applyNumberFormat="1" applyBorder="1" applyAlignment="1">
      <alignment horizontal="right" vertical="center"/>
    </xf>
    <xf numFmtId="167" fontId="4" fillId="0" borderId="4" xfId="6" applyNumberFormat="1" applyFont="1" applyBorder="1" applyAlignment="1">
      <alignment horizontal="right" vertical="center"/>
    </xf>
    <xf numFmtId="167" fontId="4" fillId="4" borderId="1" xfId="6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vertical="center" wrapText="1"/>
    </xf>
    <xf numFmtId="0" fontId="16" fillId="0" borderId="35" xfId="1" applyFont="1" applyFill="1" applyBorder="1" applyAlignment="1">
      <alignment horizontal="left" vertical="center"/>
    </xf>
    <xf numFmtId="0" fontId="0" fillId="0" borderId="0" xfId="0" applyFont="1" applyFill="1"/>
    <xf numFmtId="0" fontId="16" fillId="0" borderId="41" xfId="1" applyFont="1" applyFill="1" applyBorder="1" applyAlignment="1" applyProtection="1">
      <alignment vertical="center" wrapText="1"/>
    </xf>
    <xf numFmtId="0" fontId="17" fillId="0" borderId="4" xfId="1" applyFont="1" applyFill="1" applyBorder="1" applyAlignment="1">
      <alignment vertical="center" wrapText="1"/>
    </xf>
    <xf numFmtId="0" fontId="0" fillId="0" borderId="0" xfId="0" applyFill="1"/>
    <xf numFmtId="0" fontId="17" fillId="0" borderId="0" xfId="0" applyFont="1"/>
    <xf numFmtId="49" fontId="16" fillId="0" borderId="35" xfId="1" applyNumberFormat="1" applyFont="1" applyFill="1" applyBorder="1" applyAlignment="1">
      <alignment horizontal="left" vertical="center"/>
    </xf>
    <xf numFmtId="0" fontId="16" fillId="0" borderId="33" xfId="1" applyFont="1" applyFill="1" applyBorder="1" applyAlignment="1">
      <alignment horizontal="left" vertical="center"/>
    </xf>
    <xf numFmtId="0" fontId="16" fillId="0" borderId="43" xfId="1" applyFont="1" applyFill="1" applyBorder="1" applyAlignment="1">
      <alignment horizontal="left" vertical="center"/>
    </xf>
    <xf numFmtId="0" fontId="16" fillId="0" borderId="0" xfId="0" applyFont="1"/>
    <xf numFmtId="0" fontId="25" fillId="0" borderId="3" xfId="6" applyFont="1" applyBorder="1" applyAlignment="1">
      <alignment horizontal="center" vertical="center" wrapText="1"/>
    </xf>
    <xf numFmtId="166" fontId="25" fillId="0" borderId="16" xfId="6" applyNumberFormat="1" applyFont="1" applyBorder="1" applyAlignment="1">
      <alignment vertical="center"/>
    </xf>
    <xf numFmtId="0" fontId="21" fillId="0" borderId="40" xfId="6" applyFont="1" applyBorder="1"/>
    <xf numFmtId="0" fontId="21" fillId="0" borderId="20" xfId="6" applyFont="1" applyBorder="1"/>
    <xf numFmtId="0" fontId="9" fillId="0" borderId="0" xfId="6" applyBorder="1"/>
    <xf numFmtId="0" fontId="25" fillId="0" borderId="44" xfId="6" applyFont="1" applyBorder="1" applyAlignment="1">
      <alignment horizontal="center" vertical="center" wrapText="1"/>
    </xf>
    <xf numFmtId="166" fontId="25" fillId="0" borderId="45" xfId="6" applyNumberFormat="1" applyFont="1" applyBorder="1" applyAlignment="1">
      <alignment horizontal="right" vertical="center" wrapText="1"/>
    </xf>
    <xf numFmtId="166" fontId="23" fillId="0" borderId="46" xfId="6" applyNumberFormat="1" applyFont="1" applyBorder="1" applyAlignment="1">
      <alignment horizontal="right" vertical="center"/>
    </xf>
    <xf numFmtId="0" fontId="9" fillId="0" borderId="47" xfId="6" applyBorder="1"/>
    <xf numFmtId="0" fontId="25" fillId="0" borderId="4" xfId="6" applyFont="1" applyBorder="1" applyAlignment="1">
      <alignment horizontal="center" vertical="center" wrapText="1"/>
    </xf>
    <xf numFmtId="0" fontId="9" fillId="0" borderId="48" xfId="6" applyBorder="1"/>
    <xf numFmtId="0" fontId="9" fillId="0" borderId="40" xfId="6" applyBorder="1"/>
    <xf numFmtId="166" fontId="25" fillId="0" borderId="4" xfId="6" applyNumberFormat="1" applyFont="1" applyBorder="1" applyAlignment="1">
      <alignment vertical="center"/>
    </xf>
    <xf numFmtId="0" fontId="16" fillId="0" borderId="0" xfId="0" applyFont="1" applyAlignment="1">
      <alignment horizontal="left"/>
    </xf>
    <xf numFmtId="1" fontId="16" fillId="0" borderId="0" xfId="0" applyNumberFormat="1" applyFont="1" applyBorder="1" applyAlignment="1">
      <alignment horizontal="left"/>
    </xf>
    <xf numFmtId="0" fontId="16" fillId="0" borderId="42" xfId="1" applyNumberFormat="1" applyFont="1" applyFill="1" applyBorder="1" applyAlignment="1" applyProtection="1">
      <alignment horizontal="left" vertical="center"/>
    </xf>
    <xf numFmtId="0" fontId="16" fillId="0" borderId="0" xfId="0" applyFont="1" applyFill="1" applyAlignment="1">
      <alignment horizontal="left"/>
    </xf>
    <xf numFmtId="0" fontId="16" fillId="0" borderId="0" xfId="0" applyNumberFormat="1" applyFont="1" applyAlignment="1">
      <alignment horizontal="left"/>
    </xf>
    <xf numFmtId="0" fontId="16" fillId="0" borderId="0" xfId="0" applyNumberFormat="1" applyFont="1" applyFill="1" applyAlignment="1">
      <alignment horizontal="left"/>
    </xf>
    <xf numFmtId="169" fontId="16" fillId="0" borderId="42" xfId="1" applyNumberFormat="1" applyFont="1" applyFill="1" applyBorder="1" applyAlignment="1" applyProtection="1">
      <alignment horizontal="left" vertical="center"/>
    </xf>
    <xf numFmtId="49" fontId="29" fillId="0" borderId="0" xfId="1" applyNumberFormat="1" applyFont="1" applyAlignment="1">
      <alignment horizontal="center" vertical="center"/>
    </xf>
    <xf numFmtId="4" fontId="16" fillId="0" borderId="4" xfId="1" applyNumberFormat="1" applyFont="1" applyBorder="1" applyAlignment="1">
      <alignment horizontal="right" vertical="center"/>
    </xf>
    <xf numFmtId="0" fontId="15" fillId="8" borderId="4" xfId="1" applyFont="1" applyFill="1" applyBorder="1" applyAlignment="1">
      <alignment horizontal="center" vertical="center" wrapText="1"/>
    </xf>
    <xf numFmtId="4" fontId="16" fillId="0" borderId="4" xfId="1" applyNumberFormat="1" applyFont="1" applyBorder="1" applyAlignment="1">
      <alignment vertical="center" wrapText="1"/>
    </xf>
    <xf numFmtId="4" fontId="17" fillId="0" borderId="4" xfId="1" applyNumberFormat="1" applyFont="1" applyFill="1" applyBorder="1" applyAlignment="1">
      <alignment vertical="center" wrapText="1"/>
    </xf>
    <xf numFmtId="4" fontId="17" fillId="0" borderId="4" xfId="1" applyNumberFormat="1" applyFont="1" applyBorder="1" applyAlignment="1">
      <alignment vertical="center" wrapText="1"/>
    </xf>
    <xf numFmtId="4" fontId="17" fillId="0" borderId="0" xfId="1" applyNumberFormat="1" applyFont="1" applyFill="1" applyBorder="1" applyAlignment="1">
      <alignment vertical="center" wrapText="1"/>
    </xf>
    <xf numFmtId="4" fontId="15" fillId="7" borderId="4" xfId="2" applyNumberFormat="1" applyFont="1" applyFill="1" applyBorder="1" applyAlignment="1">
      <alignment horizontal="center" vertical="center" wrapText="1"/>
    </xf>
    <xf numFmtId="4" fontId="15" fillId="9" borderId="4" xfId="2" applyNumberFormat="1" applyFont="1" applyFill="1" applyBorder="1" applyAlignment="1">
      <alignment horizontal="center" vertical="center" wrapText="1"/>
    </xf>
    <xf numFmtId="4" fontId="16" fillId="0" borderId="0" xfId="1" quotePrefix="1" applyNumberFormat="1" applyFont="1" applyFill="1" applyAlignment="1">
      <alignment horizontal="right" vertical="center"/>
    </xf>
    <xf numFmtId="4" fontId="0" fillId="0" borderId="0" xfId="0" applyNumberFormat="1"/>
    <xf numFmtId="4" fontId="18" fillId="5" borderId="4" xfId="1" applyNumberFormat="1" applyFont="1" applyFill="1" applyBorder="1" applyAlignment="1">
      <alignment vertical="center" wrapText="1"/>
    </xf>
    <xf numFmtId="3" fontId="13" fillId="3" borderId="0" xfId="1" applyNumberFormat="1" applyFont="1" applyFill="1" applyAlignment="1">
      <alignment vertical="center"/>
    </xf>
    <xf numFmtId="0" fontId="0" fillId="3" borderId="0" xfId="0" applyFill="1"/>
    <xf numFmtId="4" fontId="15" fillId="6" borderId="38" xfId="2" applyNumberFormat="1" applyFont="1" applyFill="1" applyBorder="1" applyAlignment="1">
      <alignment horizontal="center" vertical="center" wrapText="1"/>
    </xf>
    <xf numFmtId="4" fontId="16" fillId="0" borderId="4" xfId="0" applyNumberFormat="1" applyFont="1" applyBorder="1"/>
    <xf numFmtId="49" fontId="29" fillId="0" borderId="0" xfId="1" applyNumberFormat="1" applyFont="1" applyAlignment="1">
      <alignment horizontal="center" vertical="center"/>
    </xf>
    <xf numFmtId="0" fontId="16" fillId="0" borderId="49" xfId="1" applyFont="1" applyBorder="1" applyAlignment="1">
      <alignment horizontal="left" vertical="center"/>
    </xf>
    <xf numFmtId="0" fontId="17" fillId="0" borderId="3" xfId="1" applyFont="1" applyFill="1" applyBorder="1" applyAlignment="1">
      <alignment vertical="center" wrapText="1"/>
    </xf>
    <xf numFmtId="4" fontId="16" fillId="0" borderId="3" xfId="1" quotePrefix="1" applyNumberFormat="1" applyFont="1" applyFill="1" applyBorder="1" applyAlignment="1">
      <alignment horizontal="right" vertical="center"/>
    </xf>
    <xf numFmtId="4" fontId="18" fillId="2" borderId="4" xfId="1" applyNumberFormat="1" applyFont="1" applyFill="1" applyBorder="1" applyAlignment="1">
      <alignment horizontal="right" vertical="center"/>
    </xf>
    <xf numFmtId="0" fontId="16" fillId="2" borderId="35" xfId="1" applyFont="1" applyFill="1" applyBorder="1" applyAlignment="1">
      <alignment horizontal="left" vertical="center"/>
    </xf>
    <xf numFmtId="0" fontId="15" fillId="2" borderId="4" xfId="1" applyFont="1" applyFill="1" applyBorder="1" applyAlignment="1">
      <alignment vertical="center" wrapText="1"/>
    </xf>
    <xf numFmtId="3" fontId="16" fillId="2" borderId="38" xfId="3" applyNumberFormat="1" applyFont="1" applyFill="1" applyBorder="1" applyAlignment="1" applyProtection="1">
      <alignment horizontal="right" vertical="center"/>
    </xf>
    <xf numFmtId="4" fontId="0" fillId="0" borderId="3" xfId="0" applyNumberFormat="1" applyBorder="1"/>
    <xf numFmtId="4" fontId="18" fillId="0" borderId="0" xfId="1" applyNumberFormat="1" applyFont="1" applyAlignment="1">
      <alignment horizontal="left" vertical="center"/>
    </xf>
    <xf numFmtId="4" fontId="18" fillId="0" borderId="0" xfId="3" applyNumberFormat="1" applyFont="1" applyFill="1" applyBorder="1" applyAlignment="1" applyProtection="1">
      <alignment horizontal="right" vertical="center"/>
    </xf>
    <xf numFmtId="4" fontId="16" fillId="0" borderId="0" xfId="1" applyNumberFormat="1" applyFont="1" applyAlignment="1">
      <alignment vertical="center"/>
    </xf>
    <xf numFmtId="4" fontId="15" fillId="10" borderId="4" xfId="2" applyNumberFormat="1" applyFont="1" applyFill="1" applyBorder="1" applyAlignment="1">
      <alignment horizontal="center" vertical="center" wrapText="1"/>
    </xf>
    <xf numFmtId="4" fontId="15" fillId="11" borderId="4" xfId="2" applyNumberFormat="1" applyFont="1" applyFill="1" applyBorder="1" applyAlignment="1">
      <alignment horizontal="center" vertical="center" wrapText="1"/>
    </xf>
    <xf numFmtId="164" fontId="25" fillId="3" borderId="7" xfId="6" applyNumberFormat="1" applyFont="1" applyFill="1" applyBorder="1" applyAlignment="1">
      <alignment horizontal="right" vertical="center" wrapText="1"/>
    </xf>
    <xf numFmtId="166" fontId="21" fillId="0" borderId="40" xfId="6" applyNumberFormat="1" applyFont="1" applyBorder="1" applyAlignment="1">
      <alignment horizontal="right" vertical="center"/>
    </xf>
    <xf numFmtId="166" fontId="25" fillId="0" borderId="27" xfId="6" applyNumberFormat="1" applyFont="1" applyBorder="1" applyAlignment="1">
      <alignment horizontal="right" vertical="center"/>
    </xf>
    <xf numFmtId="0" fontId="21" fillId="0" borderId="0" xfId="6" applyFont="1" applyBorder="1" applyAlignment="1">
      <alignment horizontal="center" vertical="center" wrapText="1"/>
    </xf>
    <xf numFmtId="164" fontId="21" fillId="0" borderId="21" xfId="6" applyNumberFormat="1" applyFont="1" applyBorder="1" applyAlignment="1">
      <alignment horizontal="right" vertical="center"/>
    </xf>
    <xf numFmtId="166" fontId="30" fillId="0" borderId="30" xfId="6" applyNumberFormat="1" applyFont="1" applyBorder="1" applyAlignment="1">
      <alignment vertical="center"/>
    </xf>
    <xf numFmtId="164" fontId="21" fillId="0" borderId="19" xfId="6" applyNumberFormat="1" applyFont="1" applyBorder="1" applyAlignment="1">
      <alignment horizontal="right" vertical="center"/>
    </xf>
    <xf numFmtId="164" fontId="30" fillId="0" borderId="30" xfId="6" applyNumberFormat="1" applyFont="1" applyBorder="1" applyAlignment="1">
      <alignment vertical="center"/>
    </xf>
    <xf numFmtId="0" fontId="31" fillId="0" borderId="30" xfId="0" applyFont="1" applyBorder="1" applyAlignment="1">
      <alignment vertical="center"/>
    </xf>
    <xf numFmtId="0" fontId="21" fillId="0" borderId="0" xfId="6" applyFont="1" applyBorder="1" applyAlignment="1">
      <alignment horizontal="center" vertical="center" wrapText="1"/>
    </xf>
    <xf numFmtId="164" fontId="21" fillId="0" borderId="0" xfId="6" applyNumberFormat="1" applyFont="1"/>
    <xf numFmtId="4" fontId="16" fillId="3" borderId="4" xfId="1" applyNumberFormat="1" applyFont="1" applyFill="1" applyBorder="1" applyAlignment="1">
      <alignment vertical="center" wrapText="1"/>
    </xf>
    <xf numFmtId="0" fontId="33" fillId="0" borderId="4" xfId="1" applyFont="1" applyBorder="1" applyAlignment="1">
      <alignment vertical="center" wrapText="1"/>
    </xf>
    <xf numFmtId="4" fontId="17" fillId="3" borderId="4" xfId="1" applyNumberFormat="1" applyFont="1" applyFill="1" applyBorder="1" applyAlignment="1">
      <alignment vertical="center" wrapText="1"/>
    </xf>
    <xf numFmtId="49" fontId="29" fillId="0" borderId="0" xfId="1" applyNumberFormat="1" applyFont="1" applyAlignment="1">
      <alignment horizontal="center" vertical="center"/>
    </xf>
    <xf numFmtId="4" fontId="17" fillId="3" borderId="0" xfId="1" applyNumberFormat="1" applyFont="1" applyFill="1" applyBorder="1" applyAlignment="1">
      <alignment vertical="center" wrapText="1"/>
    </xf>
    <xf numFmtId="169" fontId="16" fillId="3" borderId="42" xfId="1" applyNumberFormat="1" applyFont="1" applyFill="1" applyBorder="1" applyAlignment="1">
      <alignment horizontal="left" vertical="center"/>
    </xf>
    <xf numFmtId="0" fontId="16" fillId="3" borderId="35" xfId="1" applyFont="1" applyFill="1" applyBorder="1" applyAlignment="1">
      <alignment horizontal="left" vertical="center"/>
    </xf>
    <xf numFmtId="0" fontId="0" fillId="3" borderId="4" xfId="0" applyFill="1" applyBorder="1" applyAlignment="1">
      <alignment vertical="center" wrapText="1"/>
    </xf>
    <xf numFmtId="169" fontId="33" fillId="3" borderId="42" xfId="1" applyNumberFormat="1" applyFont="1" applyFill="1" applyBorder="1" applyAlignment="1">
      <alignment horizontal="left" vertical="center"/>
    </xf>
    <xf numFmtId="0" fontId="33" fillId="3" borderId="35" xfId="1" applyFont="1" applyFill="1" applyBorder="1" applyAlignment="1">
      <alignment horizontal="left" vertical="center"/>
    </xf>
    <xf numFmtId="4" fontId="16" fillId="3" borderId="0" xfId="1" applyNumberFormat="1" applyFont="1" applyFill="1" applyBorder="1" applyAlignment="1">
      <alignment vertical="center" wrapText="1"/>
    </xf>
    <xf numFmtId="4" fontId="0" fillId="3" borderId="0" xfId="0" applyNumberFormat="1" applyFill="1"/>
    <xf numFmtId="4" fontId="16" fillId="0" borderId="0" xfId="0" applyNumberFormat="1" applyFont="1" applyFill="1" applyAlignment="1">
      <alignment horizontal="left"/>
    </xf>
    <xf numFmtId="4" fontId="17" fillId="3" borderId="3" xfId="1" applyNumberFormat="1" applyFont="1" applyFill="1" applyBorder="1" applyAlignment="1">
      <alignment vertical="center" wrapText="1"/>
    </xf>
    <xf numFmtId="0" fontId="16" fillId="3" borderId="0" xfId="0" applyNumberFormat="1" applyFont="1" applyFill="1" applyAlignment="1">
      <alignment horizontal="left"/>
    </xf>
    <xf numFmtId="0" fontId="17" fillId="3" borderId="4" xfId="1" applyFont="1" applyFill="1" applyBorder="1" applyAlignment="1">
      <alignment vertical="center" wrapText="1"/>
    </xf>
    <xf numFmtId="0" fontId="19" fillId="3" borderId="0" xfId="1" applyFont="1" applyFill="1" applyAlignment="1">
      <alignment horizontal="center" vertical="center"/>
    </xf>
    <xf numFmtId="4" fontId="16" fillId="0" borderId="4" xfId="1" applyNumberFormat="1" applyFont="1" applyFill="1" applyBorder="1" applyAlignment="1">
      <alignment vertical="center" wrapText="1"/>
    </xf>
    <xf numFmtId="4" fontId="17" fillId="3" borderId="38" xfId="1" applyNumberFormat="1" applyFont="1" applyFill="1" applyBorder="1" applyAlignment="1">
      <alignment vertical="center" wrapText="1"/>
    </xf>
    <xf numFmtId="4" fontId="18" fillId="2" borderId="4" xfId="1" applyNumberFormat="1" applyFont="1" applyFill="1" applyBorder="1" applyAlignment="1">
      <alignment vertical="center" wrapText="1"/>
    </xf>
    <xf numFmtId="1" fontId="16" fillId="3" borderId="0" xfId="0" applyNumberFormat="1" applyFont="1" applyFill="1" applyBorder="1" applyAlignment="1">
      <alignment horizontal="left"/>
    </xf>
    <xf numFmtId="0" fontId="16" fillId="3" borderId="4" xfId="1" applyFont="1" applyFill="1" applyBorder="1" applyAlignment="1">
      <alignment horizontal="left" vertical="center"/>
    </xf>
    <xf numFmtId="4" fontId="0" fillId="3" borderId="3" xfId="0" applyNumberFormat="1" applyFill="1" applyBorder="1"/>
    <xf numFmtId="166" fontId="25" fillId="12" borderId="45" xfId="6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/>
    <xf numFmtId="166" fontId="25" fillId="13" borderId="45" xfId="6" applyNumberFormat="1" applyFont="1" applyFill="1" applyBorder="1" applyAlignment="1">
      <alignment horizontal="right" vertical="center" wrapText="1"/>
    </xf>
    <xf numFmtId="166" fontId="21" fillId="13" borderId="6" xfId="6" applyNumberFormat="1" applyFont="1" applyFill="1" applyBorder="1" applyAlignment="1">
      <alignment horizontal="right" vertical="center" wrapText="1"/>
    </xf>
    <xf numFmtId="167" fontId="2" fillId="4" borderId="4" xfId="23" applyNumberFormat="1" applyFill="1" applyBorder="1" applyAlignment="1">
      <alignment horizontal="right" vertical="center"/>
    </xf>
    <xf numFmtId="4" fontId="0" fillId="0" borderId="0" xfId="0" applyNumberFormat="1" applyFill="1"/>
    <xf numFmtId="0" fontId="21" fillId="0" borderId="38" xfId="23" applyFont="1" applyBorder="1"/>
    <xf numFmtId="0" fontId="21" fillId="0" borderId="4" xfId="23" applyFont="1" applyBorder="1"/>
    <xf numFmtId="0" fontId="2" fillId="0" borderId="4" xfId="23" applyBorder="1" applyAlignment="1">
      <alignment horizontal="right" vertical="center" wrapText="1"/>
    </xf>
    <xf numFmtId="0" fontId="21" fillId="0" borderId="4" xfId="23" applyFont="1" applyBorder="1" applyAlignment="1">
      <alignment horizontal="center" vertical="center" wrapText="1"/>
    </xf>
    <xf numFmtId="0" fontId="2" fillId="0" borderId="4" xfId="23" applyBorder="1"/>
    <xf numFmtId="0" fontId="2" fillId="4" borderId="4" xfId="23" applyFill="1" applyBorder="1" applyAlignment="1">
      <alignment horizontal="right" vertical="center" wrapText="1"/>
    </xf>
    <xf numFmtId="3" fontId="2" fillId="0" borderId="4" xfId="23" applyNumberFormat="1" applyBorder="1"/>
    <xf numFmtId="0" fontId="26" fillId="0" borderId="4" xfId="23" applyFont="1" applyBorder="1" applyAlignment="1">
      <alignment vertical="center"/>
    </xf>
    <xf numFmtId="0" fontId="2" fillId="0" borderId="4" xfId="23" applyBorder="1" applyAlignment="1">
      <alignment horizontal="right"/>
    </xf>
    <xf numFmtId="166" fontId="2" fillId="0" borderId="4" xfId="23" applyNumberFormat="1" applyBorder="1"/>
    <xf numFmtId="0" fontId="21" fillId="0" borderId="4" xfId="23" applyFont="1" applyBorder="1" applyAlignment="1"/>
    <xf numFmtId="0" fontId="35" fillId="0" borderId="4" xfId="0" applyFont="1" applyBorder="1" applyAlignment="1"/>
    <xf numFmtId="0" fontId="20" fillId="0" borderId="4" xfId="23" applyFont="1" applyBorder="1"/>
    <xf numFmtId="0" fontId="22" fillId="0" borderId="4" xfId="23" applyFont="1" applyBorder="1"/>
    <xf numFmtId="10" fontId="22" fillId="0" borderId="4" xfId="23" applyNumberFormat="1" applyFont="1" applyBorder="1"/>
    <xf numFmtId="166" fontId="2" fillId="0" borderId="1" xfId="23" applyNumberFormat="1" applyBorder="1"/>
    <xf numFmtId="0" fontId="25" fillId="15" borderId="54" xfId="23" applyFont="1" applyFill="1" applyBorder="1" applyAlignment="1">
      <alignment horizontal="center" vertical="center" wrapText="1"/>
    </xf>
    <xf numFmtId="0" fontId="25" fillId="15" borderId="55" xfId="23" applyFont="1" applyFill="1" applyBorder="1" applyAlignment="1">
      <alignment horizontal="center" vertical="center" wrapText="1"/>
    </xf>
    <xf numFmtId="3" fontId="25" fillId="0" borderId="5" xfId="23" applyNumberFormat="1" applyFont="1" applyBorder="1" applyAlignment="1">
      <alignment horizontal="right" vertical="center" wrapText="1"/>
    </xf>
    <xf numFmtId="3" fontId="25" fillId="0" borderId="56" xfId="23" applyNumberFormat="1" applyFont="1" applyBorder="1" applyAlignment="1">
      <alignment horizontal="right" vertical="center" wrapText="1"/>
    </xf>
    <xf numFmtId="3" fontId="23" fillId="0" borderId="5" xfId="23" applyNumberFormat="1" applyFont="1" applyBorder="1" applyAlignment="1">
      <alignment horizontal="right" vertical="center"/>
    </xf>
    <xf numFmtId="3" fontId="23" fillId="0" borderId="56" xfId="23" applyNumberFormat="1" applyFont="1" applyBorder="1" applyAlignment="1">
      <alignment horizontal="right" vertical="center"/>
    </xf>
    <xf numFmtId="166" fontId="26" fillId="0" borderId="1" xfId="23" applyNumberFormat="1" applyFont="1" applyBorder="1" applyAlignment="1">
      <alignment horizontal="center" vertical="center"/>
    </xf>
    <xf numFmtId="0" fontId="21" fillId="15" borderId="57" xfId="23" applyFont="1" applyFill="1" applyBorder="1" applyAlignment="1">
      <alignment horizontal="center" vertical="center" wrapText="1"/>
    </xf>
    <xf numFmtId="3" fontId="2" fillId="0" borderId="58" xfId="23" applyNumberFormat="1" applyBorder="1" applyAlignment="1">
      <alignment horizontal="right" vertical="center"/>
    </xf>
    <xf numFmtId="3" fontId="25" fillId="0" borderId="51" xfId="23" applyNumberFormat="1" applyFont="1" applyBorder="1" applyAlignment="1">
      <alignment horizontal="right" vertical="center"/>
    </xf>
    <xf numFmtId="166" fontId="24" fillId="0" borderId="1" xfId="23" applyNumberFormat="1" applyFont="1" applyBorder="1" applyAlignment="1">
      <alignment vertical="center"/>
    </xf>
    <xf numFmtId="166" fontId="24" fillId="0" borderId="1" xfId="23" applyNumberFormat="1" applyFont="1" applyBorder="1" applyAlignment="1">
      <alignment horizontal="center" vertical="center"/>
    </xf>
    <xf numFmtId="0" fontId="21" fillId="0" borderId="37" xfId="23" applyFont="1" applyBorder="1"/>
    <xf numFmtId="0" fontId="26" fillId="0" borderId="1" xfId="23" applyFont="1" applyBorder="1" applyAlignment="1">
      <alignment vertical="center"/>
    </xf>
    <xf numFmtId="0" fontId="26" fillId="0" borderId="8" xfId="23" applyFont="1" applyBorder="1" applyAlignment="1">
      <alignment vertical="center"/>
    </xf>
    <xf numFmtId="0" fontId="2" fillId="0" borderId="5" xfId="23" applyBorder="1" applyAlignment="1">
      <alignment horizontal="right" vertical="center" wrapText="1"/>
    </xf>
    <xf numFmtId="0" fontId="2" fillId="4" borderId="56" xfId="23" applyFill="1" applyBorder="1" applyAlignment="1">
      <alignment horizontal="right" vertical="center" wrapText="1"/>
    </xf>
    <xf numFmtId="167" fontId="2" fillId="0" borderId="5" xfId="23" applyNumberFormat="1" applyBorder="1" applyAlignment="1">
      <alignment horizontal="right" vertical="center"/>
    </xf>
    <xf numFmtId="167" fontId="2" fillId="4" borderId="56" xfId="23" applyNumberFormat="1" applyFill="1" applyBorder="1" applyAlignment="1">
      <alignment horizontal="right" vertical="center"/>
    </xf>
    <xf numFmtId="168" fontId="2" fillId="0" borderId="5" xfId="23" applyNumberFormat="1" applyBorder="1" applyAlignment="1">
      <alignment horizontal="right" vertical="center"/>
    </xf>
    <xf numFmtId="9" fontId="21" fillId="4" borderId="62" xfId="23" applyNumberFormat="1" applyFont="1" applyFill="1" applyBorder="1" applyAlignment="1">
      <alignment horizontal="right" vertical="center"/>
    </xf>
    <xf numFmtId="10" fontId="21" fillId="4" borderId="6" xfId="23" applyNumberFormat="1" applyFont="1" applyFill="1" applyBorder="1" applyAlignment="1">
      <alignment horizontal="right" vertical="center"/>
    </xf>
    <xf numFmtId="10" fontId="21" fillId="4" borderId="63" xfId="23" applyNumberFormat="1" applyFont="1" applyFill="1" applyBorder="1" applyAlignment="1">
      <alignment horizontal="right" vertical="center"/>
    </xf>
    <xf numFmtId="0" fontId="21" fillId="8" borderId="54" xfId="23" applyFont="1" applyFill="1" applyBorder="1" applyAlignment="1">
      <alignment horizontal="center" vertical="center" wrapText="1"/>
    </xf>
    <xf numFmtId="0" fontId="21" fillId="8" borderId="61" xfId="23" applyFont="1" applyFill="1" applyBorder="1" applyAlignment="1">
      <alignment horizontal="center" vertical="center" wrapText="1"/>
    </xf>
    <xf numFmtId="0" fontId="21" fillId="8" borderId="55" xfId="23" applyFont="1" applyFill="1" applyBorder="1" applyAlignment="1">
      <alignment horizontal="center" vertical="center" wrapText="1"/>
    </xf>
    <xf numFmtId="3" fontId="21" fillId="0" borderId="60" xfId="23" applyNumberFormat="1" applyFont="1" applyBorder="1" applyAlignment="1">
      <alignment vertical="center"/>
    </xf>
    <xf numFmtId="3" fontId="25" fillId="0" borderId="51" xfId="23" applyNumberFormat="1" applyFont="1" applyBorder="1" applyAlignment="1">
      <alignment vertical="center"/>
    </xf>
    <xf numFmtId="0" fontId="26" fillId="0" borderId="1" xfId="23" applyFont="1" applyBorder="1" applyAlignment="1">
      <alignment horizontal="center" vertical="center"/>
    </xf>
    <xf numFmtId="166" fontId="21" fillId="0" borderId="1" xfId="23" applyNumberFormat="1" applyFont="1" applyBorder="1"/>
    <xf numFmtId="3" fontId="25" fillId="0" borderId="60" xfId="23" applyNumberFormat="1" applyFont="1" applyBorder="1" applyAlignment="1">
      <alignment vertical="center"/>
    </xf>
    <xf numFmtId="3" fontId="21" fillId="0" borderId="65" xfId="23" applyNumberFormat="1" applyFont="1" applyBorder="1" applyAlignment="1">
      <alignment horizontal="right" vertical="center" wrapText="1"/>
    </xf>
    <xf numFmtId="3" fontId="2" fillId="2" borderId="58" xfId="23" applyNumberFormat="1" applyFill="1" applyBorder="1" applyAlignment="1">
      <alignment horizontal="right" vertical="center"/>
    </xf>
    <xf numFmtId="3" fontId="23" fillId="2" borderId="56" xfId="23" applyNumberFormat="1" applyFont="1" applyFill="1" applyBorder="1" applyAlignment="1">
      <alignment horizontal="right" vertical="center"/>
    </xf>
    <xf numFmtId="3" fontId="25" fillId="0" borderId="65" xfId="23" applyNumberFormat="1" applyFont="1" applyBorder="1" applyAlignment="1">
      <alignment horizontal="right" vertical="center" wrapText="1"/>
    </xf>
    <xf numFmtId="3" fontId="25" fillId="0" borderId="62" xfId="23" applyNumberFormat="1" applyFont="1" applyBorder="1" applyAlignment="1">
      <alignment horizontal="right" vertical="center"/>
    </xf>
    <xf numFmtId="3" fontId="25" fillId="0" borderId="63" xfId="23" applyNumberFormat="1" applyFont="1" applyBorder="1" applyAlignment="1">
      <alignment horizontal="right" vertical="center"/>
    </xf>
    <xf numFmtId="3" fontId="21" fillId="0" borderId="59" xfId="23" applyNumberFormat="1" applyFont="1" applyBorder="1" applyAlignment="1">
      <alignment horizontal="right" vertical="center"/>
    </xf>
    <xf numFmtId="3" fontId="25" fillId="3" borderId="65" xfId="23" applyNumberFormat="1" applyFont="1" applyFill="1" applyBorder="1" applyAlignment="1">
      <alignment horizontal="right" vertical="center" wrapText="1"/>
    </xf>
    <xf numFmtId="3" fontId="2" fillId="3" borderId="58" xfId="23" applyNumberFormat="1" applyFill="1" applyBorder="1" applyAlignment="1">
      <alignment horizontal="right" vertical="center"/>
    </xf>
    <xf numFmtId="3" fontId="21" fillId="3" borderId="59" xfId="23" applyNumberFormat="1" applyFont="1" applyFill="1" applyBorder="1" applyAlignment="1">
      <alignment horizontal="right" vertical="center"/>
    </xf>
    <xf numFmtId="0" fontId="25" fillId="15" borderId="57" xfId="23" applyFont="1" applyFill="1" applyBorder="1" applyAlignment="1">
      <alignment horizontal="center" vertical="center" wrapText="1"/>
    </xf>
    <xf numFmtId="3" fontId="23" fillId="0" borderId="58" xfId="23" applyNumberFormat="1" applyFont="1" applyBorder="1" applyAlignment="1">
      <alignment horizontal="right" vertical="center"/>
    </xf>
    <xf numFmtId="3" fontId="23" fillId="2" borderId="58" xfId="23" applyNumberFormat="1" applyFont="1" applyFill="1" applyBorder="1" applyAlignment="1">
      <alignment horizontal="right" vertical="center"/>
    </xf>
    <xf numFmtId="3" fontId="25" fillId="3" borderId="59" xfId="23" applyNumberFormat="1" applyFont="1" applyFill="1" applyBorder="1" applyAlignment="1">
      <alignment horizontal="right" vertical="center"/>
    </xf>
    <xf numFmtId="3" fontId="21" fillId="0" borderId="59" xfId="23" applyNumberFormat="1" applyFont="1" applyBorder="1" applyAlignment="1">
      <alignment vertical="center"/>
    </xf>
    <xf numFmtId="0" fontId="34" fillId="0" borderId="57" xfId="23" applyFont="1" applyBorder="1" applyAlignment="1">
      <alignment horizontal="center" vertical="center" wrapText="1"/>
    </xf>
    <xf numFmtId="0" fontId="2" fillId="0" borderId="58" xfId="23" applyBorder="1" applyAlignment="1">
      <alignment horizontal="right" vertical="center" wrapText="1"/>
    </xf>
    <xf numFmtId="0" fontId="21" fillId="0" borderId="58" xfId="23" applyFont="1" applyBorder="1" applyAlignment="1">
      <alignment horizontal="right" vertical="center"/>
    </xf>
    <xf numFmtId="0" fontId="25" fillId="0" borderId="59" xfId="23" applyFont="1" applyBorder="1" applyAlignment="1">
      <alignment horizontal="right" vertical="center"/>
    </xf>
    <xf numFmtId="0" fontId="26" fillId="0" borderId="1" xfId="23" applyFont="1" applyBorder="1" applyAlignment="1">
      <alignment horizontal="right" vertical="center"/>
    </xf>
    <xf numFmtId="0" fontId="25" fillId="0" borderId="51" xfId="23" applyFont="1" applyBorder="1" applyAlignment="1">
      <alignment horizontal="right" vertical="center"/>
    </xf>
    <xf numFmtId="0" fontId="21" fillId="0" borderId="51" xfId="23" applyFont="1" applyBorder="1" applyAlignment="1">
      <alignment horizontal="center" vertical="center"/>
    </xf>
    <xf numFmtId="0" fontId="21" fillId="4" borderId="38" xfId="23" applyFont="1" applyFill="1" applyBorder="1"/>
    <xf numFmtId="0" fontId="21" fillId="0" borderId="44" xfId="23" applyFont="1" applyBorder="1" applyAlignment="1">
      <alignment horizontal="center" vertical="center" wrapText="1"/>
    </xf>
    <xf numFmtId="0" fontId="24" fillId="0" borderId="38" xfId="23" applyFont="1" applyBorder="1"/>
    <xf numFmtId="0" fontId="21" fillId="0" borderId="38" xfId="23" applyFont="1" applyBorder="1" applyAlignment="1">
      <alignment wrapText="1"/>
    </xf>
    <xf numFmtId="0" fontId="25" fillId="3" borderId="38" xfId="23" applyFont="1" applyFill="1" applyBorder="1"/>
    <xf numFmtId="0" fontId="2" fillId="0" borderId="38" xfId="23" applyBorder="1"/>
    <xf numFmtId="0" fontId="21" fillId="0" borderId="38" xfId="23" applyFont="1" applyBorder="1" applyAlignment="1">
      <alignment horizontal="center" wrapText="1"/>
    </xf>
    <xf numFmtId="4" fontId="2" fillId="2" borderId="58" xfId="23" applyNumberFormat="1" applyFill="1" applyBorder="1" applyAlignment="1">
      <alignment horizontal="right" vertical="center"/>
    </xf>
    <xf numFmtId="0" fontId="1" fillId="0" borderId="4" xfId="23" applyFont="1" applyBorder="1"/>
    <xf numFmtId="3" fontId="18" fillId="2" borderId="2" xfId="1" applyNumberFormat="1" applyFont="1" applyFill="1" applyBorder="1" applyAlignment="1">
      <alignment horizontal="right" vertical="center"/>
    </xf>
    <xf numFmtId="3" fontId="18" fillId="2" borderId="37" xfId="1" applyNumberFormat="1" applyFont="1" applyFill="1" applyBorder="1" applyAlignment="1">
      <alignment horizontal="right" vertical="center"/>
    </xf>
    <xf numFmtId="3" fontId="16" fillId="2" borderId="1" xfId="1" applyNumberFormat="1" applyFont="1" applyFill="1" applyBorder="1" applyAlignment="1">
      <alignment horizontal="right" vertical="center"/>
    </xf>
    <xf numFmtId="3" fontId="18" fillId="2" borderId="52" xfId="1" applyNumberFormat="1" applyFont="1" applyFill="1" applyBorder="1" applyAlignment="1">
      <alignment horizontal="right" vertical="center"/>
    </xf>
    <xf numFmtId="3" fontId="18" fillId="2" borderId="53" xfId="1" applyNumberFormat="1" applyFont="1" applyFill="1" applyBorder="1" applyAlignment="1">
      <alignment horizontal="right" vertical="center"/>
    </xf>
    <xf numFmtId="0" fontId="2" fillId="0" borderId="1" xfId="23" applyBorder="1" applyAlignment="1">
      <alignment horizontal="right"/>
    </xf>
    <xf numFmtId="0" fontId="21" fillId="16" borderId="51" xfId="23" applyFont="1" applyFill="1" applyBorder="1" applyAlignment="1">
      <alignment horizontal="center" vertical="center" wrapText="1"/>
    </xf>
    <xf numFmtId="3" fontId="25" fillId="0" borderId="59" xfId="23" applyNumberFormat="1" applyFont="1" applyBorder="1" applyAlignment="1">
      <alignment vertical="center"/>
    </xf>
    <xf numFmtId="3" fontId="25" fillId="0" borderId="59" xfId="23" applyNumberFormat="1" applyFont="1" applyBorder="1" applyAlignment="1">
      <alignment horizontal="right" vertical="center"/>
    </xf>
    <xf numFmtId="3" fontId="21" fillId="0" borderId="65" xfId="23" applyNumberFormat="1" applyFont="1" applyBorder="1" applyAlignment="1">
      <alignment horizontal="right" vertical="center"/>
    </xf>
    <xf numFmtId="3" fontId="21" fillId="0" borderId="58" xfId="23" applyNumberFormat="1" applyFont="1" applyBorder="1" applyAlignment="1">
      <alignment horizontal="right" vertical="center"/>
    </xf>
    <xf numFmtId="0" fontId="26" fillId="0" borderId="44" xfId="23" applyFont="1" applyBorder="1" applyAlignment="1">
      <alignment vertical="center"/>
    </xf>
    <xf numFmtId="3" fontId="2" fillId="0" borderId="1" xfId="23" applyNumberFormat="1" applyBorder="1"/>
    <xf numFmtId="3" fontId="25" fillId="0" borderId="51" xfId="23" applyNumberFormat="1" applyFont="1" applyBorder="1" applyAlignment="1">
      <alignment horizontal="center" vertical="center"/>
    </xf>
    <xf numFmtId="0" fontId="26" fillId="0" borderId="51" xfId="23" applyFont="1" applyBorder="1" applyAlignment="1">
      <alignment vertical="center"/>
    </xf>
    <xf numFmtId="0" fontId="21" fillId="11" borderId="57" xfId="23" applyFont="1" applyFill="1" applyBorder="1" applyAlignment="1">
      <alignment horizontal="center" vertical="center" wrapText="1"/>
    </xf>
    <xf numFmtId="3" fontId="21" fillId="0" borderId="60" xfId="23" applyNumberFormat="1" applyFont="1" applyBorder="1" applyAlignment="1">
      <alignment horizontal="right" vertical="center"/>
    </xf>
    <xf numFmtId="0" fontId="21" fillId="14" borderId="57" xfId="23" applyFont="1" applyFill="1" applyBorder="1" applyAlignment="1">
      <alignment horizontal="center" vertical="center" wrapText="1"/>
    </xf>
    <xf numFmtId="3" fontId="2" fillId="0" borderId="58" xfId="23" applyNumberFormat="1" applyBorder="1" applyAlignment="1">
      <alignment horizontal="right" vertical="center" wrapText="1"/>
    </xf>
    <xf numFmtId="3" fontId="21" fillId="0" borderId="59" xfId="23" applyNumberFormat="1" applyFont="1" applyBorder="1" applyAlignment="1">
      <alignment horizontal="right" vertical="center" wrapText="1"/>
    </xf>
    <xf numFmtId="0" fontId="2" fillId="0" borderId="44" xfId="23" applyBorder="1" applyAlignment="1">
      <alignment horizontal="right" vertical="center" wrapText="1"/>
    </xf>
    <xf numFmtId="0" fontId="2" fillId="0" borderId="44" xfId="23" applyBorder="1"/>
    <xf numFmtId="0" fontId="21" fillId="0" borderId="44" xfId="23" applyFont="1" applyBorder="1"/>
    <xf numFmtId="3" fontId="21" fillId="0" borderId="58" xfId="23" applyNumberFormat="1" applyFont="1" applyBorder="1" applyAlignment="1">
      <alignment horizontal="right" vertical="center" wrapText="1"/>
    </xf>
    <xf numFmtId="0" fontId="2" fillId="0" borderId="4" xfId="23" applyFill="1" applyBorder="1"/>
    <xf numFmtId="49" fontId="29" fillId="0" borderId="0" xfId="1" applyNumberFormat="1" applyFont="1" applyFill="1" applyAlignment="1">
      <alignment horizontal="center" vertical="center"/>
    </xf>
    <xf numFmtId="4" fontId="2" fillId="0" borderId="58" xfId="23" applyNumberFormat="1" applyBorder="1" applyAlignment="1">
      <alignment horizontal="right" vertical="center" wrapText="1"/>
    </xf>
    <xf numFmtId="3" fontId="18" fillId="5" borderId="4" xfId="1" applyNumberFormat="1" applyFont="1" applyFill="1" applyBorder="1" applyAlignment="1">
      <alignment vertical="center" wrapText="1"/>
    </xf>
    <xf numFmtId="4" fontId="0" fillId="17" borderId="0" xfId="0" applyNumberFormat="1" applyFill="1"/>
    <xf numFmtId="4" fontId="0" fillId="5" borderId="0" xfId="0" applyNumberFormat="1" applyFill="1"/>
    <xf numFmtId="4" fontId="35" fillId="17" borderId="0" xfId="0" applyNumberFormat="1" applyFont="1" applyFill="1"/>
    <xf numFmtId="4" fontId="16" fillId="0" borderId="4" xfId="0" applyNumberFormat="1" applyFont="1" applyFill="1" applyBorder="1"/>
    <xf numFmtId="0" fontId="16" fillId="18" borderId="0" xfId="0" applyNumberFormat="1" applyFont="1" applyFill="1" applyAlignment="1">
      <alignment horizontal="left"/>
    </xf>
    <xf numFmtId="0" fontId="16" fillId="18" borderId="35" xfId="1" applyFont="1" applyFill="1" applyBorder="1" applyAlignment="1">
      <alignment horizontal="left" vertical="center"/>
    </xf>
    <xf numFmtId="0" fontId="17" fillId="18" borderId="4" xfId="1" applyFont="1" applyFill="1" applyBorder="1" applyAlignment="1">
      <alignment vertical="center" wrapText="1"/>
    </xf>
    <xf numFmtId="4" fontId="17" fillId="18" borderId="4" xfId="1" applyNumberFormat="1" applyFont="1" applyFill="1" applyBorder="1" applyAlignment="1">
      <alignment vertical="center" wrapText="1"/>
    </xf>
    <xf numFmtId="4" fontId="16" fillId="18" borderId="4" xfId="0" applyNumberFormat="1" applyFont="1" applyFill="1" applyBorder="1"/>
    <xf numFmtId="169" fontId="16" fillId="18" borderId="42" xfId="1" applyNumberFormat="1" applyFont="1" applyFill="1" applyBorder="1" applyAlignment="1">
      <alignment horizontal="left" vertical="center"/>
    </xf>
    <xf numFmtId="0" fontId="0" fillId="18" borderId="4" xfId="0" applyFill="1" applyBorder="1" applyAlignment="1">
      <alignment vertical="center" wrapText="1"/>
    </xf>
    <xf numFmtId="0" fontId="33" fillId="18" borderId="35" xfId="1" applyFont="1" applyFill="1" applyBorder="1" applyAlignment="1">
      <alignment horizontal="left" vertical="center"/>
    </xf>
    <xf numFmtId="4" fontId="17" fillId="8" borderId="4" xfId="1" applyNumberFormat="1" applyFont="1" applyFill="1" applyBorder="1" applyAlignment="1">
      <alignment vertical="center" wrapText="1"/>
    </xf>
    <xf numFmtId="49" fontId="29" fillId="0" borderId="32" xfId="1" applyNumberFormat="1" applyFont="1" applyBorder="1" applyAlignment="1">
      <alignment horizontal="center" vertical="center"/>
    </xf>
    <xf numFmtId="49" fontId="29" fillId="0" borderId="0" xfId="1" applyNumberFormat="1" applyFont="1" applyAlignment="1">
      <alignment horizontal="center" vertical="center"/>
    </xf>
    <xf numFmtId="3" fontId="18" fillId="5" borderId="2" xfId="1" applyNumberFormat="1" applyFont="1" applyFill="1" applyBorder="1" applyAlignment="1">
      <alignment horizontal="center" vertical="center"/>
    </xf>
    <xf numFmtId="3" fontId="0" fillId="0" borderId="44" xfId="0" applyNumberFormat="1" applyBorder="1" applyAlignment="1">
      <alignment vertical="center"/>
    </xf>
    <xf numFmtId="0" fontId="21" fillId="0" borderId="14" xfId="6" applyFont="1" applyBorder="1" applyAlignment="1">
      <alignment horizontal="center" vertical="center" wrapText="1"/>
    </xf>
    <xf numFmtId="0" fontId="21" fillId="0" borderId="15" xfId="6" applyFont="1" applyBorder="1" applyAlignment="1">
      <alignment horizontal="center" vertical="center" wrapText="1"/>
    </xf>
    <xf numFmtId="166" fontId="25" fillId="0" borderId="28" xfId="6" applyNumberFormat="1" applyFont="1" applyBorder="1" applyAlignment="1">
      <alignment horizontal="center" vertical="center"/>
    </xf>
    <xf numFmtId="166" fontId="25" fillId="0" borderId="29" xfId="6" applyNumberFormat="1" applyFont="1" applyBorder="1" applyAlignment="1">
      <alignment horizontal="center" vertical="center"/>
    </xf>
    <xf numFmtId="166" fontId="25" fillId="0" borderId="24" xfId="6" applyNumberFormat="1" applyFont="1" applyBorder="1" applyAlignment="1">
      <alignment horizontal="center" vertical="center"/>
    </xf>
    <xf numFmtId="166" fontId="25" fillId="0" borderId="39" xfId="6" applyNumberFormat="1" applyFont="1" applyBorder="1" applyAlignment="1">
      <alignment horizontal="center" vertical="center"/>
    </xf>
    <xf numFmtId="166" fontId="30" fillId="0" borderId="28" xfId="6" applyNumberFormat="1" applyFont="1" applyBorder="1" applyAlignment="1">
      <alignment horizontal="center" vertical="center"/>
    </xf>
    <xf numFmtId="0" fontId="31" fillId="0" borderId="29" xfId="0" applyFont="1" applyBorder="1" applyAlignment="1">
      <alignment vertical="center"/>
    </xf>
    <xf numFmtId="0" fontId="31" fillId="0" borderId="30" xfId="0" applyFont="1" applyBorder="1" applyAlignment="1">
      <alignment vertical="center"/>
    </xf>
    <xf numFmtId="0" fontId="21" fillId="0" borderId="0" xfId="6" applyFont="1" applyBorder="1" applyAlignment="1">
      <alignment horizontal="center" vertical="center" wrapText="1"/>
    </xf>
    <xf numFmtId="0" fontId="21" fillId="0" borderId="50" xfId="6" applyFont="1" applyBorder="1" applyAlignment="1">
      <alignment horizontal="center" vertical="center" wrapText="1"/>
    </xf>
    <xf numFmtId="3" fontId="21" fillId="0" borderId="67" xfId="23" applyNumberFormat="1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1" fillId="0" borderId="52" xfId="23" applyFont="1" applyBorder="1" applyAlignment="1">
      <alignment horizontal="center" vertical="center" wrapText="1"/>
    </xf>
    <xf numFmtId="0" fontId="21" fillId="0" borderId="64" xfId="23" applyFont="1" applyBorder="1" applyAlignment="1">
      <alignment horizontal="center" vertical="center" wrapText="1"/>
    </xf>
    <xf numFmtId="0" fontId="21" fillId="0" borderId="53" xfId="23" applyFont="1" applyBorder="1" applyAlignment="1">
      <alignment horizontal="center" vertical="center" wrapText="1"/>
    </xf>
    <xf numFmtId="0" fontId="21" fillId="0" borderId="4" xfId="23" applyFont="1" applyBorder="1" applyAlignment="1">
      <alignment horizontal="center" vertical="center" wrapText="1"/>
    </xf>
    <xf numFmtId="3" fontId="25" fillId="0" borderId="52" xfId="23" applyNumberFormat="1" applyFont="1" applyBorder="1" applyAlignment="1">
      <alignment horizontal="center" vertical="center"/>
    </xf>
    <xf numFmtId="3" fontId="25" fillId="0" borderId="53" xfId="23" applyNumberFormat="1" applyFont="1" applyBorder="1" applyAlignment="1">
      <alignment horizontal="center" vertical="center"/>
    </xf>
    <xf numFmtId="3" fontId="25" fillId="0" borderId="64" xfId="23" applyNumberFormat="1" applyFont="1" applyBorder="1" applyAlignment="1">
      <alignment horizontal="center" vertical="center"/>
    </xf>
    <xf numFmtId="3" fontId="25" fillId="0" borderId="66" xfId="23" applyNumberFormat="1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</cellXfs>
  <cellStyles count="24">
    <cellStyle name="Komma" xfId="3" builtinId="3"/>
    <cellStyle name="Komma 2" xfId="9" xr:uid="{00000000-0005-0000-0000-000001000000}"/>
    <cellStyle name="Komma 2 2" xfId="20" xr:uid="{00000000-0005-0000-0000-000002000000}"/>
    <cellStyle name="Komma 3" xfId="11" xr:uid="{00000000-0005-0000-0000-000003000000}"/>
    <cellStyle name="Komma 3 2" xfId="21" xr:uid="{00000000-0005-0000-0000-000004000000}"/>
    <cellStyle name="Komma 4" xfId="17" xr:uid="{00000000-0005-0000-0000-000005000000}"/>
    <cellStyle name="Prozent 2" xfId="13" xr:uid="{00000000-0005-0000-0000-000006000000}"/>
    <cellStyle name="Prozent 3" xfId="22" xr:uid="{00000000-0005-0000-0000-000007000000}"/>
    <cellStyle name="Standard" xfId="0" builtinId="0"/>
    <cellStyle name="Standard 2" xfId="4" xr:uid="{00000000-0005-0000-0000-000009000000}"/>
    <cellStyle name="Standard 2 2" xfId="6" xr:uid="{00000000-0005-0000-0000-00000A000000}"/>
    <cellStyle name="Standard 2 2 2" xfId="7" xr:uid="{00000000-0005-0000-0000-00000B000000}"/>
    <cellStyle name="Standard 2 2 2 2" xfId="19" xr:uid="{00000000-0005-0000-0000-00000C000000}"/>
    <cellStyle name="Standard 2 2 3" xfId="8" xr:uid="{00000000-0005-0000-0000-00000D000000}"/>
    <cellStyle name="Standard 2 2 4" xfId="23" xr:uid="{C31482E6-D2C9-4DC3-9BA4-301279FCD120}"/>
    <cellStyle name="Standard 3" xfId="10" xr:uid="{00000000-0005-0000-0000-00000E000000}"/>
    <cellStyle name="Standard 3 2" xfId="12" xr:uid="{00000000-0005-0000-0000-00000F000000}"/>
    <cellStyle name="Standard 4" xfId="14" xr:uid="{00000000-0005-0000-0000-000010000000}"/>
    <cellStyle name="Standard 5" xfId="16" xr:uid="{00000000-0005-0000-0000-000011000000}"/>
    <cellStyle name="Standard_Haushaltprodorient-gruppierung" xfId="1" xr:uid="{00000000-0005-0000-0000-000012000000}"/>
    <cellStyle name="Standard_Wirtschaftsplan_2006_0604_050729_überholt" xfId="2" xr:uid="{00000000-0005-0000-0000-000013000000}"/>
    <cellStyle name="Währung 2" xfId="5" xr:uid="{00000000-0005-0000-0000-000014000000}"/>
    <cellStyle name="Währung 2 2" xfId="18" xr:uid="{00000000-0005-0000-0000-000015000000}"/>
    <cellStyle name="Währung 3" xfId="15" xr:uid="{00000000-0005-0000-0000-000016000000}"/>
  </cellStyles>
  <dxfs count="1"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F66FF"/>
      <color rgb="FFF5862B"/>
      <color rgb="FFFF9999"/>
      <color rgb="FFFFFF00"/>
      <color rgb="FFFFFFCD"/>
      <color rgb="FFDDDDDD"/>
      <color rgb="FFFFFF99"/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ein_Wirtschaftsplan_2026_nach_FMK_20251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ppe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TKO/08_Finanzen/07_Haushaltsf&#252;hrung/7_2025/13_Kameraler%20Jahresabschluss/Ergebnis_alt/260202_Ergebnis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26"/>
      <sheetName val="Kostenvert. 2026"/>
      <sheetName val="Kostenvert. Progn. 2027"/>
      <sheetName val="Stellenplan"/>
      <sheetName val="Stellenplan_vergleich"/>
      <sheetName val="Personalkosten"/>
    </sheetNames>
    <sheetDataSet>
      <sheetData sheetId="0">
        <row r="7">
          <cell r="H7">
            <v>17917.199999999997</v>
          </cell>
        </row>
      </sheetData>
      <sheetData sheetId="1"/>
      <sheetData sheetId="2" refreshError="1"/>
      <sheetData sheetId="3">
        <row r="12">
          <cell r="D12">
            <v>66</v>
          </cell>
          <cell r="E12">
            <v>92</v>
          </cell>
          <cell r="H12">
            <v>98</v>
          </cell>
          <cell r="I12">
            <v>98</v>
          </cell>
          <cell r="J12">
            <v>98</v>
          </cell>
          <cell r="M12">
            <v>7132706</v>
          </cell>
          <cell r="N12">
            <v>9067601.5216019955</v>
          </cell>
          <cell r="O12">
            <v>9294291.5596420486</v>
          </cell>
          <cell r="P12">
            <v>9526648.8486330975</v>
          </cell>
        </row>
        <row r="23">
          <cell r="E23">
            <v>120</v>
          </cell>
          <cell r="H23">
            <v>134</v>
          </cell>
          <cell r="I23">
            <v>134</v>
          </cell>
          <cell r="J23">
            <v>134</v>
          </cell>
          <cell r="M23">
            <v>11412246</v>
          </cell>
          <cell r="N23">
            <v>15721844.034359122</v>
          </cell>
          <cell r="O23">
            <v>16114890.135218097</v>
          </cell>
          <cell r="P23">
            <v>16517762.38859855</v>
          </cell>
        </row>
        <row r="24">
          <cell r="D24">
            <v>144</v>
          </cell>
          <cell r="E24">
            <v>212</v>
          </cell>
          <cell r="H24">
            <v>232</v>
          </cell>
          <cell r="I24">
            <v>232</v>
          </cell>
          <cell r="J24">
            <v>232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Kostenvert. Budget"/>
      <sheetName val="Kostenvert 2025 Ergebnis"/>
    </sheetNames>
    <sheetDataSet>
      <sheetData sheetId="0">
        <row r="263">
          <cell r="E263">
            <v>305802426.1077615</v>
          </cell>
          <cell r="F263">
            <v>190305148.89876145</v>
          </cell>
          <cell r="G263">
            <v>22697847</v>
          </cell>
          <cell r="H263">
            <v>92799430.200000003</v>
          </cell>
          <cell r="I263">
            <v>32854809.639999997</v>
          </cell>
          <cell r="J263">
            <v>167164852.07999998</v>
          </cell>
          <cell r="K263">
            <v>14590118.07</v>
          </cell>
          <cell r="L263">
            <v>61939705.454999998</v>
          </cell>
          <cell r="M263">
            <v>90635028.554999992</v>
          </cell>
          <cell r="N263">
            <v>163852429.3464027</v>
          </cell>
          <cell r="O263">
            <v>7641967.2799999993</v>
          </cell>
          <cell r="P263">
            <v>30077761.209999997</v>
          </cell>
          <cell r="Q263">
            <v>126132700.85640268</v>
          </cell>
          <cell r="R263">
            <v>7251049.442358803</v>
          </cell>
          <cell r="S263">
            <v>465761.91</v>
          </cell>
          <cell r="T263">
            <v>781963.53500000015</v>
          </cell>
          <cell r="U263">
            <v>6003323.9973587999</v>
          </cell>
          <cell r="V263">
            <v>216767729.4114027</v>
          </cell>
          <cell r="W263">
            <v>331017281.42640269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0"/>
  <sheetViews>
    <sheetView tabSelected="1" zoomScale="80" zoomScaleNormal="80" zoomScaleSheetLayoutView="100" zoomScalePage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3" sqref="B3"/>
    </sheetView>
  </sheetViews>
  <sheetFormatPr baseColWidth="10" defaultColWidth="11" defaultRowHeight="15.5" x14ac:dyDescent="0.35"/>
  <cols>
    <col min="1" max="1" width="7.81640625" hidden="1" customWidth="1"/>
    <col min="2" max="2" width="11.1796875" style="158" customWidth="1"/>
    <col min="3" max="3" width="10.81640625" customWidth="1"/>
    <col min="4" max="4" width="91.54296875" bestFit="1" customWidth="1"/>
    <col min="5" max="5" width="26.26953125" customWidth="1"/>
    <col min="6" max="6" width="24.453125" customWidth="1"/>
    <col min="7" max="7" width="21.54296875" customWidth="1"/>
    <col min="8" max="8" width="24.453125" customWidth="1"/>
    <col min="9" max="9" width="24.1796875" customWidth="1"/>
    <col min="10" max="10" width="28" customWidth="1"/>
    <col min="11" max="13" width="23.453125" customWidth="1"/>
    <col min="14" max="14" width="23.1796875" customWidth="1"/>
    <col min="15" max="16" width="23.453125" customWidth="1"/>
    <col min="17" max="17" width="23" customWidth="1"/>
    <col min="18" max="18" width="21.26953125" customWidth="1"/>
    <col min="19" max="19" width="17.26953125" customWidth="1"/>
    <col min="20" max="20" width="20.1796875" customWidth="1"/>
    <col min="21" max="21" width="21.26953125" customWidth="1"/>
    <col min="22" max="22" width="26.81640625" customWidth="1"/>
    <col min="23" max="23" width="23.7265625" customWidth="1"/>
    <col min="24" max="24" width="22.7265625" bestFit="1" customWidth="1"/>
    <col min="25" max="25" width="21.81640625" bestFit="1" customWidth="1"/>
    <col min="26" max="27" width="13.1796875" bestFit="1" customWidth="1"/>
  </cols>
  <sheetData>
    <row r="1" spans="2:25" ht="19" thickTop="1" x14ac:dyDescent="0.35">
      <c r="C1" s="78"/>
      <c r="D1" s="354" t="s">
        <v>204</v>
      </c>
    </row>
    <row r="2" spans="2:25" ht="18.5" x14ac:dyDescent="0.35">
      <c r="C2" s="79"/>
      <c r="D2" s="355"/>
      <c r="E2" s="181"/>
      <c r="F2" s="165"/>
      <c r="G2" s="165"/>
      <c r="H2" s="165"/>
      <c r="I2" s="338"/>
      <c r="J2" s="209"/>
      <c r="K2" s="177"/>
      <c r="L2" s="177"/>
      <c r="M2" s="177"/>
      <c r="N2" s="178"/>
      <c r="O2" s="178"/>
      <c r="P2" s="178"/>
      <c r="Q2" s="178"/>
      <c r="X2" s="139"/>
      <c r="Y2" s="139"/>
    </row>
    <row r="3" spans="2:25" ht="46.5" x14ac:dyDescent="0.35">
      <c r="B3" s="97" t="s">
        <v>346</v>
      </c>
      <c r="C3" s="97" t="s">
        <v>60</v>
      </c>
      <c r="D3" s="70" t="s">
        <v>61</v>
      </c>
      <c r="E3" s="167" t="s">
        <v>378</v>
      </c>
      <c r="F3" s="167" t="s">
        <v>379</v>
      </c>
      <c r="G3" s="167" t="s">
        <v>495</v>
      </c>
      <c r="H3" s="167" t="s">
        <v>380</v>
      </c>
      <c r="I3" s="167" t="s">
        <v>366</v>
      </c>
      <c r="J3" s="173" t="s">
        <v>381</v>
      </c>
      <c r="K3" s="173" t="s">
        <v>375</v>
      </c>
      <c r="L3" s="173" t="s">
        <v>382</v>
      </c>
      <c r="M3" s="173" t="s">
        <v>383</v>
      </c>
      <c r="N3" s="172" t="s">
        <v>384</v>
      </c>
      <c r="O3" s="172" t="s">
        <v>375</v>
      </c>
      <c r="P3" s="172" t="s">
        <v>382</v>
      </c>
      <c r="Q3" s="172" t="s">
        <v>385</v>
      </c>
      <c r="R3" s="179" t="s">
        <v>364</v>
      </c>
      <c r="S3" s="179" t="s">
        <v>365</v>
      </c>
      <c r="T3" s="179" t="s">
        <v>386</v>
      </c>
      <c r="U3" s="179" t="s">
        <v>387</v>
      </c>
      <c r="V3" s="193" t="s">
        <v>388</v>
      </c>
      <c r="W3" s="194" t="s">
        <v>389</v>
      </c>
      <c r="X3" s="194" t="s">
        <v>390</v>
      </c>
      <c r="Y3" s="194" t="s">
        <v>391</v>
      </c>
    </row>
    <row r="4" spans="2:25" x14ac:dyDescent="0.35">
      <c r="C4" s="81"/>
      <c r="D4" s="80"/>
      <c r="E4" s="80"/>
      <c r="F4" s="80"/>
      <c r="G4" s="80"/>
      <c r="H4" s="80"/>
      <c r="I4" s="80"/>
      <c r="J4" s="80"/>
      <c r="K4" s="74"/>
      <c r="L4" s="74"/>
      <c r="M4" s="74"/>
    </row>
    <row r="5" spans="2:25" x14ac:dyDescent="0.35">
      <c r="B5" s="208"/>
      <c r="C5" s="82"/>
      <c r="D5" s="80"/>
      <c r="E5" s="80"/>
      <c r="F5" s="80"/>
      <c r="G5" s="80"/>
      <c r="H5" s="80"/>
      <c r="I5" s="80"/>
      <c r="J5" s="80"/>
      <c r="K5" s="74"/>
      <c r="L5" s="74"/>
      <c r="M5" s="74"/>
    </row>
    <row r="6" spans="2:25" x14ac:dyDescent="0.35">
      <c r="C6" s="83"/>
      <c r="D6" s="84"/>
      <c r="E6" s="222"/>
      <c r="F6" s="222"/>
      <c r="G6" s="222"/>
      <c r="H6" s="84"/>
      <c r="I6" s="84"/>
      <c r="J6" s="84"/>
      <c r="K6" s="75"/>
      <c r="L6" s="75"/>
      <c r="M6" s="75"/>
    </row>
    <row r="7" spans="2:25" ht="15" customHeight="1" x14ac:dyDescent="0.35">
      <c r="B7" s="159" t="s">
        <v>250</v>
      </c>
      <c r="C7" s="98" t="s">
        <v>48</v>
      </c>
      <c r="D7" s="71" t="s">
        <v>50</v>
      </c>
      <c r="E7" s="206">
        <v>6577.1999999999989</v>
      </c>
      <c r="F7" s="206">
        <v>6577.1999999999989</v>
      </c>
      <c r="G7" s="206">
        <v>0</v>
      </c>
      <c r="H7" s="206">
        <v>0</v>
      </c>
      <c r="I7" s="206">
        <v>0</v>
      </c>
      <c r="J7" s="206">
        <v>4025.7</v>
      </c>
      <c r="K7" s="206">
        <f t="shared" ref="K7:K20" si="0">IF(AND(G7&gt;0, J7&gt;0), MIN(J7, G7), 0)</f>
        <v>0</v>
      </c>
      <c r="L7" s="206">
        <f t="shared" ref="L7:L20" si="1">IF(AND(H7&gt;0, J7&gt;0), MIN(H7, J7 - K7), 0)</f>
        <v>0</v>
      </c>
      <c r="M7" s="206">
        <f t="shared" ref="M7:M10" si="2">IF(J7&lt;0, J7, MAX(0, J7 - K7 - L7))</f>
        <v>4025.7</v>
      </c>
      <c r="N7" s="206">
        <v>0</v>
      </c>
      <c r="O7" s="168">
        <v>0</v>
      </c>
      <c r="P7" s="168">
        <v>0</v>
      </c>
      <c r="Q7" s="168">
        <v>0</v>
      </c>
      <c r="R7" s="168">
        <v>0</v>
      </c>
      <c r="S7" s="168">
        <v>0</v>
      </c>
      <c r="T7" s="168">
        <v>0</v>
      </c>
      <c r="U7" s="168">
        <v>0</v>
      </c>
      <c r="V7" s="168">
        <f>M7+Q7</f>
        <v>4025.7</v>
      </c>
      <c r="W7" s="180">
        <f t="shared" ref="W7:W22" si="3">J7+N7</f>
        <v>4025.7</v>
      </c>
      <c r="X7" s="168">
        <v>0</v>
      </c>
      <c r="Y7" s="168">
        <v>0</v>
      </c>
    </row>
    <row r="8" spans="2:25" x14ac:dyDescent="0.35">
      <c r="B8" s="159" t="s">
        <v>251</v>
      </c>
      <c r="C8" s="99" t="s">
        <v>49</v>
      </c>
      <c r="D8" s="71" t="s">
        <v>51</v>
      </c>
      <c r="E8" s="206">
        <v>0</v>
      </c>
      <c r="F8" s="206">
        <v>0</v>
      </c>
      <c r="G8" s="206">
        <v>0</v>
      </c>
      <c r="H8" s="206">
        <v>0</v>
      </c>
      <c r="I8" s="206">
        <v>0</v>
      </c>
      <c r="J8" s="206">
        <v>0</v>
      </c>
      <c r="K8" s="206">
        <f t="shared" si="0"/>
        <v>0</v>
      </c>
      <c r="L8" s="206">
        <f t="shared" si="1"/>
        <v>0</v>
      </c>
      <c r="M8" s="206">
        <f t="shared" si="2"/>
        <v>0</v>
      </c>
      <c r="N8" s="206">
        <v>0</v>
      </c>
      <c r="O8" s="168">
        <v>0</v>
      </c>
      <c r="P8" s="168">
        <v>0</v>
      </c>
      <c r="Q8" s="168">
        <f t="shared" ref="Q8:Q20" si="4">N8-O8-P8</f>
        <v>0</v>
      </c>
      <c r="R8" s="168">
        <v>0</v>
      </c>
      <c r="S8" s="168">
        <v>0</v>
      </c>
      <c r="T8" s="168">
        <v>0</v>
      </c>
      <c r="U8" s="168">
        <v>0</v>
      </c>
      <c r="V8" s="168">
        <f t="shared" ref="V8:V22" si="5">M8+Q8</f>
        <v>0</v>
      </c>
      <c r="W8" s="180">
        <f t="shared" si="3"/>
        <v>0</v>
      </c>
      <c r="X8" s="168">
        <v>0</v>
      </c>
      <c r="Y8" s="168">
        <v>0</v>
      </c>
    </row>
    <row r="9" spans="2:25" x14ac:dyDescent="0.35">
      <c r="B9" s="159" t="s">
        <v>252</v>
      </c>
      <c r="C9" s="141" t="s">
        <v>242</v>
      </c>
      <c r="D9" s="71" t="s">
        <v>128</v>
      </c>
      <c r="E9" s="206">
        <v>6493287.5899999999</v>
      </c>
      <c r="F9" s="206">
        <v>0</v>
      </c>
      <c r="G9" s="206">
        <v>0</v>
      </c>
      <c r="H9" s="206">
        <v>6493287.5899999999</v>
      </c>
      <c r="I9" s="206">
        <f>J9-E9</f>
        <v>32854809.639999997</v>
      </c>
      <c r="J9" s="206">
        <v>39348097.229999997</v>
      </c>
      <c r="K9" s="206">
        <f t="shared" si="0"/>
        <v>0</v>
      </c>
      <c r="L9" s="206">
        <f t="shared" si="1"/>
        <v>6493287.5899999999</v>
      </c>
      <c r="M9" s="206">
        <f t="shared" si="2"/>
        <v>32854809.639999997</v>
      </c>
      <c r="N9" s="206">
        <v>0</v>
      </c>
      <c r="O9" s="168">
        <v>0</v>
      </c>
      <c r="P9" s="168">
        <v>0</v>
      </c>
      <c r="Q9" s="168">
        <f t="shared" si="4"/>
        <v>0</v>
      </c>
      <c r="R9" s="168">
        <v>0</v>
      </c>
      <c r="S9" s="168">
        <v>0</v>
      </c>
      <c r="T9" s="168">
        <v>0</v>
      </c>
      <c r="U9" s="168">
        <v>0</v>
      </c>
      <c r="V9" s="168">
        <f t="shared" si="5"/>
        <v>32854809.639999997</v>
      </c>
      <c r="W9" s="168">
        <f t="shared" si="3"/>
        <v>39348097.229999997</v>
      </c>
      <c r="X9" s="168">
        <v>0</v>
      </c>
      <c r="Y9" s="168">
        <v>0</v>
      </c>
    </row>
    <row r="10" spans="2:25" x14ac:dyDescent="0.35">
      <c r="B10" s="159" t="s">
        <v>253</v>
      </c>
      <c r="C10" s="100" t="s">
        <v>22</v>
      </c>
      <c r="D10" s="73" t="s">
        <v>1</v>
      </c>
      <c r="E10" s="206">
        <v>49340615.899312936</v>
      </c>
      <c r="F10" s="206">
        <v>49340615.899312936</v>
      </c>
      <c r="G10" s="206">
        <v>0</v>
      </c>
      <c r="H10" s="206">
        <v>0</v>
      </c>
      <c r="I10" s="206">
        <v>0</v>
      </c>
      <c r="J10" s="206">
        <v>51831961.350000001</v>
      </c>
      <c r="K10" s="206">
        <f t="shared" si="0"/>
        <v>0</v>
      </c>
      <c r="L10" s="206">
        <f t="shared" si="1"/>
        <v>0</v>
      </c>
      <c r="M10" s="206">
        <f t="shared" si="2"/>
        <v>51831961.350000001</v>
      </c>
      <c r="N10" s="206">
        <v>0</v>
      </c>
      <c r="O10" s="168">
        <v>0</v>
      </c>
      <c r="P10" s="168">
        <v>0</v>
      </c>
      <c r="Q10" s="168">
        <f t="shared" si="4"/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f t="shared" si="5"/>
        <v>51831961.350000001</v>
      </c>
      <c r="W10" s="180">
        <f t="shared" si="3"/>
        <v>51831961.350000001</v>
      </c>
      <c r="X10" s="168">
        <f>'Kostenvert 2025 Ergebnis'!Y5</f>
        <v>4332110.5325224549</v>
      </c>
      <c r="Y10" s="168">
        <f>'Kostenvert 2025 Ergebnis'!Z5</f>
        <v>214705.01374999995</v>
      </c>
    </row>
    <row r="11" spans="2:25" x14ac:dyDescent="0.35">
      <c r="B11" s="160" t="s">
        <v>254</v>
      </c>
      <c r="C11" s="100" t="s">
        <v>52</v>
      </c>
      <c r="D11" s="73" t="s">
        <v>65</v>
      </c>
      <c r="E11" s="216">
        <v>0</v>
      </c>
      <c r="F11" s="206">
        <v>0</v>
      </c>
      <c r="G11" s="206">
        <v>0</v>
      </c>
      <c r="H11" s="206">
        <v>0</v>
      </c>
      <c r="I11" s="206">
        <v>0</v>
      </c>
      <c r="J11" s="206">
        <v>132637.6</v>
      </c>
      <c r="K11" s="206">
        <f t="shared" si="0"/>
        <v>0</v>
      </c>
      <c r="L11" s="206">
        <f t="shared" si="1"/>
        <v>0</v>
      </c>
      <c r="M11" s="206">
        <f t="shared" ref="M11:M22" si="6">IF(J11&lt;0, J11, MAX(0, J11 - K11 - L11))</f>
        <v>132637.6</v>
      </c>
      <c r="N11" s="206">
        <v>0</v>
      </c>
      <c r="O11" s="168">
        <v>0</v>
      </c>
      <c r="P11" s="168">
        <v>0</v>
      </c>
      <c r="Q11" s="168">
        <f t="shared" si="4"/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f t="shared" si="5"/>
        <v>132637.6</v>
      </c>
      <c r="W11" s="180">
        <f t="shared" si="3"/>
        <v>132637.6</v>
      </c>
      <c r="X11" s="168">
        <v>0</v>
      </c>
      <c r="Y11" s="168">
        <v>0</v>
      </c>
    </row>
    <row r="12" spans="2:25" x14ac:dyDescent="0.35">
      <c r="B12" s="159" t="s">
        <v>255</v>
      </c>
      <c r="C12" s="100" t="s">
        <v>147</v>
      </c>
      <c r="D12" s="73" t="s">
        <v>148</v>
      </c>
      <c r="E12" s="206">
        <v>0</v>
      </c>
      <c r="F12" s="206">
        <v>0</v>
      </c>
      <c r="G12" s="206">
        <v>0</v>
      </c>
      <c r="H12" s="206">
        <v>0</v>
      </c>
      <c r="I12" s="206">
        <v>0</v>
      </c>
      <c r="J12" s="206">
        <v>0</v>
      </c>
      <c r="K12" s="206">
        <f t="shared" si="0"/>
        <v>0</v>
      </c>
      <c r="L12" s="206">
        <f t="shared" si="1"/>
        <v>0</v>
      </c>
      <c r="M12" s="206">
        <f t="shared" si="6"/>
        <v>0</v>
      </c>
      <c r="N12" s="206">
        <v>0</v>
      </c>
      <c r="O12" s="168">
        <v>0</v>
      </c>
      <c r="P12" s="168">
        <v>0</v>
      </c>
      <c r="Q12" s="168">
        <f t="shared" si="4"/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f t="shared" si="5"/>
        <v>0</v>
      </c>
      <c r="W12" s="180">
        <f t="shared" si="3"/>
        <v>0</v>
      </c>
      <c r="X12" s="168">
        <v>0</v>
      </c>
      <c r="Y12" s="168">
        <v>0</v>
      </c>
    </row>
    <row r="13" spans="2:25" x14ac:dyDescent="0.35">
      <c r="B13" s="159" t="s">
        <v>256</v>
      </c>
      <c r="C13" s="100" t="s">
        <v>23</v>
      </c>
      <c r="D13" s="71" t="s">
        <v>2</v>
      </c>
      <c r="E13" s="206">
        <v>119349376.97583707</v>
      </c>
      <c r="F13" s="206">
        <v>119349376.97583707</v>
      </c>
      <c r="G13" s="206">
        <v>0</v>
      </c>
      <c r="H13" s="206">
        <v>0</v>
      </c>
      <c r="I13" s="206">
        <v>0</v>
      </c>
      <c r="J13" s="206">
        <f>128628210.07-(12500000-378733.75)</f>
        <v>116506943.81999999</v>
      </c>
      <c r="K13" s="206">
        <f t="shared" si="0"/>
        <v>0</v>
      </c>
      <c r="L13" s="206">
        <f t="shared" si="1"/>
        <v>0</v>
      </c>
      <c r="M13" s="206">
        <f t="shared" si="6"/>
        <v>116506943.81999999</v>
      </c>
      <c r="N13" s="206">
        <v>0</v>
      </c>
      <c r="O13" s="168">
        <v>0</v>
      </c>
      <c r="P13" s="168">
        <v>0</v>
      </c>
      <c r="Q13" s="168">
        <f t="shared" si="4"/>
        <v>0</v>
      </c>
      <c r="R13" s="168">
        <v>0</v>
      </c>
      <c r="S13" s="168">
        <v>0</v>
      </c>
      <c r="T13" s="168">
        <v>0</v>
      </c>
      <c r="U13" s="168">
        <v>0</v>
      </c>
      <c r="V13" s="168">
        <f t="shared" si="5"/>
        <v>116506943.81999999</v>
      </c>
      <c r="W13" s="180">
        <f t="shared" si="3"/>
        <v>116506943.81999999</v>
      </c>
      <c r="X13" s="168">
        <f>'Kostenvert 2025 Ergebnis'!Y23-'Kostenvert 2025 Ergebnis'!Y5-'Kostenvert 2025 Ergebnis'!Y22</f>
        <v>2311208.8029288957</v>
      </c>
      <c r="Y13" s="168">
        <f>'Kostenvert 2025 Ergebnis'!Z4-'Kostenvert 2025 Ergebnis'!Z5</f>
        <v>644115.04124999989</v>
      </c>
    </row>
    <row r="14" spans="2:25" x14ac:dyDescent="0.35">
      <c r="B14" s="159" t="s">
        <v>257</v>
      </c>
      <c r="C14" s="100" t="s">
        <v>53</v>
      </c>
      <c r="D14" s="71" t="s">
        <v>211</v>
      </c>
      <c r="E14" s="206">
        <v>69868.759999999995</v>
      </c>
      <c r="F14" s="206">
        <v>0</v>
      </c>
      <c r="G14" s="206">
        <v>0</v>
      </c>
      <c r="H14" s="206">
        <v>69868.759999999995</v>
      </c>
      <c r="I14" s="206">
        <v>0</v>
      </c>
      <c r="J14" s="206">
        <v>637708.12</v>
      </c>
      <c r="K14" s="206">
        <f t="shared" si="0"/>
        <v>0</v>
      </c>
      <c r="L14" s="206">
        <f t="shared" si="1"/>
        <v>69868.759999999995</v>
      </c>
      <c r="M14" s="206">
        <f t="shared" si="6"/>
        <v>567839.36</v>
      </c>
      <c r="N14" s="206">
        <v>0</v>
      </c>
      <c r="O14" s="168">
        <v>0</v>
      </c>
      <c r="P14" s="168">
        <v>0</v>
      </c>
      <c r="Q14" s="168">
        <f t="shared" si="4"/>
        <v>0</v>
      </c>
      <c r="R14" s="168">
        <v>0</v>
      </c>
      <c r="S14" s="168">
        <v>0</v>
      </c>
      <c r="T14" s="168">
        <v>0</v>
      </c>
      <c r="U14" s="168">
        <v>0</v>
      </c>
      <c r="V14" s="168">
        <f t="shared" si="5"/>
        <v>567839.36</v>
      </c>
      <c r="W14" s="180">
        <f t="shared" si="3"/>
        <v>637708.12</v>
      </c>
      <c r="X14" s="168">
        <v>0</v>
      </c>
      <c r="Y14" s="168">
        <v>0</v>
      </c>
    </row>
    <row r="15" spans="2:25" x14ac:dyDescent="0.35">
      <c r="B15" s="160" t="s">
        <v>258</v>
      </c>
      <c r="C15" s="100" t="s">
        <v>58</v>
      </c>
      <c r="D15" s="71" t="s">
        <v>59</v>
      </c>
      <c r="E15" s="206">
        <v>1478322.3870000001</v>
      </c>
      <c r="F15" s="206">
        <v>1214480.307</v>
      </c>
      <c r="G15" s="206">
        <v>0</v>
      </c>
      <c r="H15" s="206">
        <v>263842.08</v>
      </c>
      <c r="I15" s="206">
        <v>0</v>
      </c>
      <c r="J15" s="206">
        <v>1829409.88</v>
      </c>
      <c r="K15" s="206">
        <f t="shared" si="0"/>
        <v>0</v>
      </c>
      <c r="L15" s="206">
        <f t="shared" si="1"/>
        <v>263842.08</v>
      </c>
      <c r="M15" s="206">
        <f t="shared" si="6"/>
        <v>1565567.7999999998</v>
      </c>
      <c r="N15" s="206">
        <v>0</v>
      </c>
      <c r="O15" s="168">
        <v>0</v>
      </c>
      <c r="P15" s="168">
        <v>0</v>
      </c>
      <c r="Q15" s="168">
        <f t="shared" si="4"/>
        <v>0</v>
      </c>
      <c r="R15" s="168">
        <v>0</v>
      </c>
      <c r="S15" s="168">
        <v>0</v>
      </c>
      <c r="T15" s="168">
        <v>0</v>
      </c>
      <c r="U15" s="168">
        <v>0</v>
      </c>
      <c r="V15" s="168">
        <f t="shared" si="5"/>
        <v>1565567.7999999998</v>
      </c>
      <c r="W15" s="180">
        <f t="shared" si="3"/>
        <v>1829409.88</v>
      </c>
      <c r="X15" s="168">
        <f>'Kostenvert 2025 Ergebnis'!Y22</f>
        <v>756754.16918338754</v>
      </c>
      <c r="Y15" s="168">
        <f>'Kostenvert. Budget'!Z27</f>
        <v>0</v>
      </c>
    </row>
    <row r="16" spans="2:25" x14ac:dyDescent="0.35">
      <c r="B16" s="159" t="s">
        <v>259</v>
      </c>
      <c r="C16" s="100" t="s">
        <v>149</v>
      </c>
      <c r="D16" s="73" t="s">
        <v>190</v>
      </c>
      <c r="E16" s="206">
        <v>0</v>
      </c>
      <c r="F16" s="206">
        <v>0</v>
      </c>
      <c r="G16" s="206">
        <v>0</v>
      </c>
      <c r="H16" s="206">
        <v>0</v>
      </c>
      <c r="I16" s="206">
        <v>0</v>
      </c>
      <c r="J16" s="206">
        <v>0</v>
      </c>
      <c r="K16" s="206">
        <f t="shared" si="0"/>
        <v>0</v>
      </c>
      <c r="L16" s="206">
        <f t="shared" si="1"/>
        <v>0</v>
      </c>
      <c r="M16" s="206">
        <f t="shared" si="6"/>
        <v>0</v>
      </c>
      <c r="N16" s="206">
        <v>0</v>
      </c>
      <c r="O16" s="168">
        <v>0</v>
      </c>
      <c r="P16" s="168">
        <v>0</v>
      </c>
      <c r="Q16" s="168">
        <f t="shared" si="4"/>
        <v>0</v>
      </c>
      <c r="R16" s="168">
        <v>0</v>
      </c>
      <c r="S16" s="168">
        <v>0</v>
      </c>
      <c r="T16" s="168">
        <v>0</v>
      </c>
      <c r="U16" s="168">
        <v>0</v>
      </c>
      <c r="V16" s="168">
        <f t="shared" si="5"/>
        <v>0</v>
      </c>
      <c r="W16" s="180">
        <f t="shared" si="3"/>
        <v>0</v>
      </c>
      <c r="X16" s="168">
        <v>0</v>
      </c>
      <c r="Y16" s="168">
        <v>0</v>
      </c>
    </row>
    <row r="17" spans="2:26" x14ac:dyDescent="0.35">
      <c r="B17" s="226" t="s">
        <v>342</v>
      </c>
      <c r="C17" s="212" t="s">
        <v>496</v>
      </c>
      <c r="D17" s="227" t="s">
        <v>461</v>
      </c>
      <c r="E17" s="206">
        <v>12500000</v>
      </c>
      <c r="F17" s="206">
        <v>12500000</v>
      </c>
      <c r="G17" s="206">
        <v>0</v>
      </c>
      <c r="H17" s="206">
        <v>0</v>
      </c>
      <c r="I17" s="206">
        <v>0</v>
      </c>
      <c r="J17" s="206">
        <f>12500000-378733.75</f>
        <v>12121266.25</v>
      </c>
      <c r="K17" s="206">
        <f t="shared" si="0"/>
        <v>0</v>
      </c>
      <c r="L17" s="206">
        <f t="shared" si="1"/>
        <v>0</v>
      </c>
      <c r="M17" s="206">
        <f t="shared" si="6"/>
        <v>12121266.25</v>
      </c>
      <c r="N17" s="206">
        <v>378733.75</v>
      </c>
      <c r="O17" s="168">
        <v>0</v>
      </c>
      <c r="P17" s="168">
        <v>0</v>
      </c>
      <c r="Q17" s="168">
        <f t="shared" si="4"/>
        <v>378733.75</v>
      </c>
      <c r="R17" s="168">
        <v>0</v>
      </c>
      <c r="S17" s="168">
        <v>0</v>
      </c>
      <c r="T17" s="168">
        <v>0</v>
      </c>
      <c r="U17" s="168">
        <v>0</v>
      </c>
      <c r="V17" s="168">
        <f t="shared" si="5"/>
        <v>12500000</v>
      </c>
      <c r="W17" s="180">
        <f t="shared" si="3"/>
        <v>12500000</v>
      </c>
      <c r="X17" s="168">
        <v>0</v>
      </c>
      <c r="Y17" s="168">
        <v>0</v>
      </c>
    </row>
    <row r="18" spans="2:26" x14ac:dyDescent="0.35">
      <c r="B18" s="159" t="s">
        <v>260</v>
      </c>
      <c r="C18" s="100" t="s">
        <v>139</v>
      </c>
      <c r="D18" s="71" t="s">
        <v>140</v>
      </c>
      <c r="E18" s="206">
        <v>158293.32999999999</v>
      </c>
      <c r="F18" s="206">
        <v>0</v>
      </c>
      <c r="G18" s="206">
        <v>0</v>
      </c>
      <c r="H18" s="206">
        <v>158293.32999999999</v>
      </c>
      <c r="I18" s="206">
        <v>0</v>
      </c>
      <c r="J18" s="206">
        <v>551771.66</v>
      </c>
      <c r="K18" s="206">
        <f t="shared" si="0"/>
        <v>0</v>
      </c>
      <c r="L18" s="206">
        <f t="shared" si="1"/>
        <v>158293.32999999999</v>
      </c>
      <c r="M18" s="206">
        <f t="shared" si="6"/>
        <v>393478.33000000007</v>
      </c>
      <c r="N18" s="206">
        <v>0</v>
      </c>
      <c r="O18" s="168">
        <v>0</v>
      </c>
      <c r="P18" s="168">
        <v>0</v>
      </c>
      <c r="Q18" s="168">
        <f t="shared" si="4"/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f t="shared" si="5"/>
        <v>393478.33000000007</v>
      </c>
      <c r="W18" s="180">
        <f t="shared" si="3"/>
        <v>551771.66</v>
      </c>
      <c r="X18" s="168">
        <v>0</v>
      </c>
      <c r="Y18" s="168">
        <v>0</v>
      </c>
    </row>
    <row r="19" spans="2:26" x14ac:dyDescent="0.35">
      <c r="B19" s="159" t="s">
        <v>261</v>
      </c>
      <c r="C19" s="100" t="s">
        <v>200</v>
      </c>
      <c r="D19" s="73" t="s">
        <v>193</v>
      </c>
      <c r="E19" s="206"/>
      <c r="F19" s="206"/>
      <c r="G19" s="206">
        <v>0</v>
      </c>
      <c r="H19" s="206">
        <v>0</v>
      </c>
      <c r="I19" s="206">
        <v>0</v>
      </c>
      <c r="J19" s="206">
        <v>0</v>
      </c>
      <c r="K19" s="206">
        <f t="shared" si="0"/>
        <v>0</v>
      </c>
      <c r="L19" s="206">
        <f t="shared" si="1"/>
        <v>0</v>
      </c>
      <c r="M19" s="206">
        <f t="shared" si="6"/>
        <v>0</v>
      </c>
      <c r="N19" s="206">
        <v>0</v>
      </c>
      <c r="O19" s="168">
        <v>0</v>
      </c>
      <c r="P19" s="168">
        <v>0</v>
      </c>
      <c r="Q19" s="168">
        <f t="shared" si="4"/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f t="shared" si="5"/>
        <v>0</v>
      </c>
      <c r="W19" s="180">
        <f t="shared" si="3"/>
        <v>0</v>
      </c>
      <c r="X19" s="168">
        <v>0</v>
      </c>
      <c r="Y19" s="168">
        <v>0</v>
      </c>
    </row>
    <row r="20" spans="2:26" x14ac:dyDescent="0.35">
      <c r="B20" s="159" t="s">
        <v>262</v>
      </c>
      <c r="C20" s="100" t="s">
        <v>212</v>
      </c>
      <c r="D20" s="73" t="s">
        <v>213</v>
      </c>
      <c r="E20" s="206">
        <v>1358234</v>
      </c>
      <c r="F20" s="206">
        <v>1358234</v>
      </c>
      <c r="G20" s="206">
        <v>0</v>
      </c>
      <c r="H20" s="206">
        <v>0</v>
      </c>
      <c r="I20" s="206">
        <v>0</v>
      </c>
      <c r="J20" s="206">
        <v>1274674.19</v>
      </c>
      <c r="K20" s="206">
        <f t="shared" si="0"/>
        <v>0</v>
      </c>
      <c r="L20" s="206">
        <f t="shared" si="1"/>
        <v>0</v>
      </c>
      <c r="M20" s="206">
        <f t="shared" si="6"/>
        <v>1274674.19</v>
      </c>
      <c r="N20" s="206">
        <v>0</v>
      </c>
      <c r="O20" s="168">
        <v>0</v>
      </c>
      <c r="P20" s="168">
        <v>0</v>
      </c>
      <c r="Q20" s="168">
        <f t="shared" si="4"/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f t="shared" si="5"/>
        <v>1274674.19</v>
      </c>
      <c r="W20" s="180">
        <f t="shared" si="3"/>
        <v>1274674.19</v>
      </c>
      <c r="X20" s="168">
        <v>0</v>
      </c>
      <c r="Y20" s="168">
        <v>0</v>
      </c>
    </row>
    <row r="21" spans="2:26" x14ac:dyDescent="0.35">
      <c r="B21" s="160" t="s">
        <v>263</v>
      </c>
      <c r="C21" s="100" t="s">
        <v>64</v>
      </c>
      <c r="D21" s="71" t="s">
        <v>114</v>
      </c>
      <c r="E21" s="206">
        <v>115047850.809</v>
      </c>
      <c r="F21" s="206">
        <v>6535865.0599999996</v>
      </c>
      <c r="G21" s="206">
        <v>22697847.001000002</v>
      </c>
      <c r="H21" s="206">
        <v>85814138.748999998</v>
      </c>
      <c r="I21" s="206">
        <v>0</v>
      </c>
      <c r="J21" s="206">
        <f>SUM(K21:M21)</f>
        <v>115047850.801</v>
      </c>
      <c r="K21" s="206">
        <f>G21</f>
        <v>22697847.001000002</v>
      </c>
      <c r="L21" s="206">
        <f>H21</f>
        <v>85814138.748999998</v>
      </c>
      <c r="M21" s="206">
        <f>'Kostenvert. Budget'!R4+'Kostenvert. Budget'!S4</f>
        <v>6535865.050999999</v>
      </c>
      <c r="N21" s="206">
        <v>0</v>
      </c>
      <c r="O21" s="168"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0</v>
      </c>
      <c r="U21" s="168">
        <v>0</v>
      </c>
      <c r="V21" s="168">
        <f t="shared" si="5"/>
        <v>6535865.050999999</v>
      </c>
      <c r="W21" s="180">
        <f t="shared" si="3"/>
        <v>115047850.801</v>
      </c>
      <c r="X21" s="168">
        <f>S21+T21</f>
        <v>0</v>
      </c>
      <c r="Y21" s="168">
        <v>0</v>
      </c>
    </row>
    <row r="22" spans="2:26" x14ac:dyDescent="0.35">
      <c r="B22" s="160" t="s">
        <v>263</v>
      </c>
      <c r="C22" s="100" t="s">
        <v>64</v>
      </c>
      <c r="D22" s="71" t="s">
        <v>376</v>
      </c>
      <c r="E22" s="206"/>
      <c r="F22" s="206"/>
      <c r="G22" s="206">
        <v>0</v>
      </c>
      <c r="H22" s="206">
        <v>0</v>
      </c>
      <c r="I22" s="206">
        <v>0</v>
      </c>
      <c r="J22" s="206">
        <v>0</v>
      </c>
      <c r="K22" s="206">
        <f>G22</f>
        <v>0</v>
      </c>
      <c r="L22" s="206">
        <f>H22</f>
        <v>0</v>
      </c>
      <c r="M22" s="206">
        <f t="shared" si="6"/>
        <v>0</v>
      </c>
      <c r="N22" s="206">
        <v>0</v>
      </c>
      <c r="O22" s="168">
        <v>0</v>
      </c>
      <c r="P22" s="168">
        <v>0</v>
      </c>
      <c r="Q22" s="168">
        <v>0</v>
      </c>
      <c r="R22" s="168">
        <v>0</v>
      </c>
      <c r="S22" s="168">
        <v>0</v>
      </c>
      <c r="T22" s="168">
        <v>0</v>
      </c>
      <c r="U22" s="168">
        <v>0</v>
      </c>
      <c r="V22" s="168">
        <f t="shared" si="5"/>
        <v>0</v>
      </c>
      <c r="W22" s="180">
        <f t="shared" si="3"/>
        <v>0</v>
      </c>
      <c r="X22" s="168">
        <v>0</v>
      </c>
      <c r="Y22" s="168">
        <v>0</v>
      </c>
    </row>
    <row r="23" spans="2:26" s="139" customFormat="1" ht="15" customHeight="1" x14ac:dyDescent="0.35">
      <c r="B23" s="161"/>
      <c r="C23" s="104"/>
      <c r="D23" s="101" t="s">
        <v>3</v>
      </c>
      <c r="E23" s="176">
        <f t="shared" ref="E23:Y23" si="7">SUM(E7:E22)</f>
        <v>305802426.95115</v>
      </c>
      <c r="F23" s="176">
        <f t="shared" si="7"/>
        <v>190305149.44215003</v>
      </c>
      <c r="G23" s="176">
        <f t="shared" si="7"/>
        <v>22697847.001000002</v>
      </c>
      <c r="H23" s="176">
        <f t="shared" si="7"/>
        <v>92799430.509000003</v>
      </c>
      <c r="I23" s="176">
        <f t="shared" si="7"/>
        <v>32854809.639999997</v>
      </c>
      <c r="J23" s="176">
        <f t="shared" si="7"/>
        <v>339286346.60099995</v>
      </c>
      <c r="K23" s="176">
        <f t="shared" si="7"/>
        <v>22697847.001000002</v>
      </c>
      <c r="L23" s="176">
        <f t="shared" si="7"/>
        <v>92799430.509000003</v>
      </c>
      <c r="M23" s="176">
        <f t="shared" si="7"/>
        <v>223789069.09100002</v>
      </c>
      <c r="N23" s="176">
        <f t="shared" si="7"/>
        <v>378733.75</v>
      </c>
      <c r="O23" s="176">
        <f t="shared" si="7"/>
        <v>0</v>
      </c>
      <c r="P23" s="176">
        <f t="shared" si="7"/>
        <v>0</v>
      </c>
      <c r="Q23" s="176">
        <f t="shared" si="7"/>
        <v>378733.75</v>
      </c>
      <c r="R23" s="176">
        <f t="shared" si="7"/>
        <v>0</v>
      </c>
      <c r="S23" s="176">
        <f t="shared" si="7"/>
        <v>0</v>
      </c>
      <c r="T23" s="176">
        <f t="shared" si="7"/>
        <v>0</v>
      </c>
      <c r="U23" s="176">
        <f t="shared" si="7"/>
        <v>0</v>
      </c>
      <c r="V23" s="176">
        <f t="shared" si="7"/>
        <v>224167802.84100002</v>
      </c>
      <c r="W23" s="176">
        <f t="shared" si="7"/>
        <v>339665080.35099995</v>
      </c>
      <c r="X23" s="340">
        <f t="shared" si="7"/>
        <v>7400073.504634738</v>
      </c>
      <c r="Y23" s="340">
        <f t="shared" si="7"/>
        <v>858820.05499999982</v>
      </c>
    </row>
    <row r="24" spans="2:26" x14ac:dyDescent="0.35">
      <c r="C24" s="88"/>
      <c r="D24" s="89"/>
      <c r="E24" s="190"/>
      <c r="F24" s="190"/>
      <c r="G24" s="190"/>
      <c r="H24" s="190"/>
      <c r="I24" s="190"/>
      <c r="J24" s="190"/>
      <c r="K24" s="191"/>
      <c r="L24" s="191"/>
      <c r="M24" s="191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356">
        <f>X23+Y23</f>
        <v>8258893.5596347377</v>
      </c>
      <c r="Y24" s="357"/>
    </row>
    <row r="25" spans="2:26" x14ac:dyDescent="0.35">
      <c r="C25" s="87"/>
      <c r="D25" s="76"/>
      <c r="E25" s="192"/>
      <c r="F25" s="192"/>
      <c r="G25" s="192"/>
      <c r="H25" s="192"/>
      <c r="I25" s="192"/>
      <c r="J25" s="192"/>
      <c r="K25" s="192"/>
      <c r="L25" s="192"/>
      <c r="M25" s="192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</row>
    <row r="26" spans="2:26" x14ac:dyDescent="0.35">
      <c r="C26" s="87"/>
      <c r="D26" s="77" t="s">
        <v>4</v>
      </c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</row>
    <row r="27" spans="2:26" x14ac:dyDescent="0.35">
      <c r="C27" s="87"/>
      <c r="D27" s="76"/>
      <c r="E27" s="192"/>
      <c r="F27" s="192"/>
      <c r="G27" s="192"/>
      <c r="H27" s="192"/>
      <c r="I27" s="192"/>
      <c r="J27" s="192"/>
      <c r="K27" s="192"/>
      <c r="L27" s="192"/>
      <c r="M27" s="192"/>
      <c r="N27" s="175"/>
      <c r="O27" s="175"/>
      <c r="P27" s="175"/>
      <c r="Q27" s="175"/>
      <c r="R27" s="175"/>
      <c r="S27" s="175"/>
      <c r="T27" s="175"/>
      <c r="U27" s="175"/>
      <c r="V27" s="175"/>
      <c r="W27" s="175"/>
    </row>
    <row r="28" spans="2:26" s="139" customFormat="1" x14ac:dyDescent="0.35">
      <c r="B28" s="161"/>
      <c r="C28" s="104"/>
      <c r="D28" s="101" t="s">
        <v>14</v>
      </c>
      <c r="E28" s="176">
        <f t="shared" ref="E28:I28" si="8">SUM(E29:E35)</f>
        <v>15559416.559999999</v>
      </c>
      <c r="F28" s="176">
        <f t="shared" si="8"/>
        <v>13438028.370000001</v>
      </c>
      <c r="G28" s="176">
        <f t="shared" si="8"/>
        <v>648875.62000000011</v>
      </c>
      <c r="H28" s="176">
        <f t="shared" si="8"/>
        <v>1472512.5699999996</v>
      </c>
      <c r="I28" s="176">
        <f t="shared" si="8"/>
        <v>0</v>
      </c>
      <c r="J28" s="176">
        <f t="shared" ref="J28:U28" si="9">SUM(J29:J35)</f>
        <v>12324670.67</v>
      </c>
      <c r="K28" s="176">
        <f t="shared" si="9"/>
        <v>648875.62000000011</v>
      </c>
      <c r="L28" s="176">
        <f t="shared" si="9"/>
        <v>1472091.6899999997</v>
      </c>
      <c r="M28" s="176">
        <f t="shared" si="9"/>
        <v>10203703.359999999</v>
      </c>
      <c r="N28" s="176">
        <f t="shared" si="9"/>
        <v>277840</v>
      </c>
      <c r="O28" s="176">
        <f t="shared" ref="O28" si="10">SUM(O29:O35)</f>
        <v>0</v>
      </c>
      <c r="P28" s="176">
        <f t="shared" si="9"/>
        <v>0</v>
      </c>
      <c r="Q28" s="176">
        <f t="shared" si="9"/>
        <v>277840</v>
      </c>
      <c r="R28" s="176">
        <f t="shared" si="9"/>
        <v>2956905.8900000011</v>
      </c>
      <c r="S28" s="176">
        <f t="shared" si="9"/>
        <v>0</v>
      </c>
      <c r="T28" s="176">
        <f t="shared" si="9"/>
        <v>420.88</v>
      </c>
      <c r="U28" s="176">
        <f t="shared" si="9"/>
        <v>2956485.0100000012</v>
      </c>
      <c r="V28" s="176">
        <f t="shared" ref="V28:W28" si="11">SUM(V29:V35)</f>
        <v>10481543.359999999</v>
      </c>
      <c r="W28" s="176">
        <f t="shared" si="11"/>
        <v>12602510.67</v>
      </c>
    </row>
    <row r="29" spans="2:26" x14ac:dyDescent="0.35">
      <c r="B29" s="158" t="s">
        <v>264</v>
      </c>
      <c r="C29" s="100" t="s">
        <v>24</v>
      </c>
      <c r="D29" s="102" t="s">
        <v>63</v>
      </c>
      <c r="E29" s="206">
        <v>5148909.84</v>
      </c>
      <c r="F29" s="206">
        <v>5148909.84</v>
      </c>
      <c r="G29" s="206">
        <v>0</v>
      </c>
      <c r="H29" s="206">
        <v>0</v>
      </c>
      <c r="I29" s="206">
        <v>0</v>
      </c>
      <c r="J29" s="223">
        <v>1782778.42</v>
      </c>
      <c r="K29" s="168">
        <f t="shared" ref="K29:K35" si="12">IF(AND(G29&gt;0, J29&gt;0), MIN(J29, G29), 0)</f>
        <v>0</v>
      </c>
      <c r="L29" s="168">
        <f>IF(AND(H29&gt;0, J29&gt;0), MIN(H29, J29 - K29), 0)</f>
        <v>0</v>
      </c>
      <c r="M29" s="168">
        <f>IF(J29&lt;0, J29, MAX(0, J29 - K29 - L29))</f>
        <v>1782778.42</v>
      </c>
      <c r="N29" s="206">
        <v>0</v>
      </c>
      <c r="O29" s="180">
        <f t="shared" ref="O29:O35" si="13">IF(N29&gt;0, MIN(N29, MAX(0, G29 - K29)), 0)</f>
        <v>0</v>
      </c>
      <c r="P29" s="180">
        <f t="shared" ref="P29:P35" si="14">IF((N29-O29)&gt;0, MIN((N29-O29), MAX(0, (H29-O29) - (L29-O29))), 0)</f>
        <v>0</v>
      </c>
      <c r="Q29" s="180">
        <f>N29-O29-P29</f>
        <v>0</v>
      </c>
      <c r="R29" s="180">
        <f>SUM(S29:U29)</f>
        <v>3366131.42</v>
      </c>
      <c r="S29" s="180">
        <f>G29-K29-O29</f>
        <v>0</v>
      </c>
      <c r="T29" s="180">
        <f>H29-L29-P29</f>
        <v>0</v>
      </c>
      <c r="U29" s="180">
        <f>F29+I29-M29-Q29</f>
        <v>3366131.42</v>
      </c>
      <c r="V29" s="180">
        <f>M29+Q29</f>
        <v>1782778.42</v>
      </c>
      <c r="W29" s="180">
        <f t="shared" ref="W29:W35" si="15">J29+N29</f>
        <v>1782778.42</v>
      </c>
      <c r="Y29" s="175"/>
    </row>
    <row r="30" spans="2:26" x14ac:dyDescent="0.35">
      <c r="B30" s="158" t="s">
        <v>265</v>
      </c>
      <c r="C30" s="100" t="s">
        <v>101</v>
      </c>
      <c r="D30" s="102" t="s">
        <v>104</v>
      </c>
      <c r="E30" s="206">
        <v>2513009.94</v>
      </c>
      <c r="F30" s="206">
        <v>400000</v>
      </c>
      <c r="G30" s="206">
        <v>648875.62000000011</v>
      </c>
      <c r="H30" s="206">
        <v>1464134.3199999998</v>
      </c>
      <c r="I30" s="206">
        <v>0</v>
      </c>
      <c r="J30" s="206">
        <v>2526989.0699999998</v>
      </c>
      <c r="K30" s="168">
        <f t="shared" si="12"/>
        <v>648875.62000000011</v>
      </c>
      <c r="L30" s="168">
        <f t="shared" ref="L30:L35" si="16">IF(AND(H30&gt;0, J30&gt;0), MIN(H30, J30 - K30), 0)</f>
        <v>1464134.3199999998</v>
      </c>
      <c r="M30" s="168">
        <f t="shared" ref="M30:M35" si="17">IF(J30&lt;0, J30, MAX(0, J30 - K30 - L30))</f>
        <v>413979.12999999989</v>
      </c>
      <c r="N30" s="206">
        <v>0</v>
      </c>
      <c r="O30" s="180">
        <f t="shared" si="13"/>
        <v>0</v>
      </c>
      <c r="P30" s="180">
        <f t="shared" si="14"/>
        <v>0</v>
      </c>
      <c r="Q30" s="180">
        <f t="shared" ref="Q30:Q35" si="18">N30-O30-P30</f>
        <v>0</v>
      </c>
      <c r="R30" s="180">
        <f t="shared" ref="R30:R35" si="19">SUM(S30:U30)</f>
        <v>-13979.129999999888</v>
      </c>
      <c r="S30" s="180">
        <f t="shared" ref="S30:S35" si="20">G30-K30-O30</f>
        <v>0</v>
      </c>
      <c r="T30" s="180">
        <f t="shared" ref="T30:T35" si="21">H30-L30-P30</f>
        <v>0</v>
      </c>
      <c r="U30" s="180">
        <f t="shared" ref="U30:U35" si="22">F30+I30-M30-Q30</f>
        <v>-13979.129999999888</v>
      </c>
      <c r="V30" s="180">
        <f t="shared" ref="V30:V35" si="23">M30+Q30</f>
        <v>413979.12999999989</v>
      </c>
      <c r="W30" s="180">
        <f t="shared" si="15"/>
        <v>2526989.0699999998</v>
      </c>
      <c r="Y30" s="175"/>
      <c r="Z30" s="175"/>
    </row>
    <row r="31" spans="2:26" x14ac:dyDescent="0.35">
      <c r="B31" s="158" t="s">
        <v>264</v>
      </c>
      <c r="C31" s="100" t="s">
        <v>25</v>
      </c>
      <c r="D31" s="103" t="s">
        <v>5</v>
      </c>
      <c r="E31" s="206">
        <v>7408633.5300000003</v>
      </c>
      <c r="F31" s="206">
        <v>7408633.5300000003</v>
      </c>
      <c r="G31" s="206">
        <v>0</v>
      </c>
      <c r="H31" s="206">
        <v>0</v>
      </c>
      <c r="I31" s="206">
        <v>0</v>
      </c>
      <c r="J31" s="206">
        <v>7605659.7699999996</v>
      </c>
      <c r="K31" s="168">
        <f t="shared" si="12"/>
        <v>0</v>
      </c>
      <c r="L31" s="168">
        <f t="shared" si="16"/>
        <v>0</v>
      </c>
      <c r="M31" s="168">
        <f t="shared" si="17"/>
        <v>7605659.7699999996</v>
      </c>
      <c r="N31" s="206">
        <v>0</v>
      </c>
      <c r="O31" s="180">
        <f t="shared" si="13"/>
        <v>0</v>
      </c>
      <c r="P31" s="180">
        <f t="shared" si="14"/>
        <v>0</v>
      </c>
      <c r="Q31" s="180">
        <f t="shared" si="18"/>
        <v>0</v>
      </c>
      <c r="R31" s="180">
        <f t="shared" si="19"/>
        <v>-197026.23999999929</v>
      </c>
      <c r="S31" s="180">
        <f t="shared" si="20"/>
        <v>0</v>
      </c>
      <c r="T31" s="180">
        <f t="shared" si="21"/>
        <v>0</v>
      </c>
      <c r="U31" s="180">
        <f t="shared" si="22"/>
        <v>-197026.23999999929</v>
      </c>
      <c r="V31" s="180">
        <f t="shared" si="23"/>
        <v>7605659.7699999996</v>
      </c>
      <c r="W31" s="180">
        <f t="shared" si="15"/>
        <v>7605659.7699999996</v>
      </c>
      <c r="Y31" s="175"/>
    </row>
    <row r="32" spans="2:26" x14ac:dyDescent="0.35">
      <c r="B32" s="158" t="s">
        <v>266</v>
      </c>
      <c r="C32" s="100" t="s">
        <v>40</v>
      </c>
      <c r="D32" s="103" t="s">
        <v>105</v>
      </c>
      <c r="E32" s="206">
        <v>77084.92</v>
      </c>
      <c r="F32" s="206">
        <v>75500</v>
      </c>
      <c r="G32" s="206">
        <v>0</v>
      </c>
      <c r="H32" s="206">
        <v>1584.92</v>
      </c>
      <c r="I32" s="206">
        <v>0</v>
      </c>
      <c r="J32" s="206">
        <v>74266.679999999993</v>
      </c>
      <c r="K32" s="168">
        <f t="shared" si="12"/>
        <v>0</v>
      </c>
      <c r="L32" s="168">
        <f t="shared" si="16"/>
        <v>1584.92</v>
      </c>
      <c r="M32" s="168">
        <f t="shared" si="17"/>
        <v>72681.759999999995</v>
      </c>
      <c r="N32" s="206">
        <v>0</v>
      </c>
      <c r="O32" s="180">
        <f t="shared" si="13"/>
        <v>0</v>
      </c>
      <c r="P32" s="180">
        <f t="shared" si="14"/>
        <v>0</v>
      </c>
      <c r="Q32" s="180">
        <f t="shared" si="18"/>
        <v>0</v>
      </c>
      <c r="R32" s="180">
        <f t="shared" si="19"/>
        <v>2818.2400000000052</v>
      </c>
      <c r="S32" s="180">
        <f t="shared" si="20"/>
        <v>0</v>
      </c>
      <c r="T32" s="180">
        <f t="shared" si="21"/>
        <v>0</v>
      </c>
      <c r="U32" s="180">
        <f t="shared" si="22"/>
        <v>2818.2400000000052</v>
      </c>
      <c r="V32" s="180">
        <f t="shared" si="23"/>
        <v>72681.759999999995</v>
      </c>
      <c r="W32" s="180">
        <f t="shared" si="15"/>
        <v>74266.679999999993</v>
      </c>
      <c r="Y32" s="175"/>
    </row>
    <row r="33" spans="2:25" x14ac:dyDescent="0.35">
      <c r="B33" s="158" t="s">
        <v>266</v>
      </c>
      <c r="C33" s="100" t="s">
        <v>46</v>
      </c>
      <c r="D33" s="103" t="s">
        <v>54</v>
      </c>
      <c r="E33" s="206">
        <v>9020.8799999999992</v>
      </c>
      <c r="F33" s="206">
        <v>8600</v>
      </c>
      <c r="G33" s="206">
        <v>0</v>
      </c>
      <c r="H33" s="206">
        <v>420.88</v>
      </c>
      <c r="I33" s="206">
        <v>0</v>
      </c>
      <c r="J33" s="206">
        <v>0</v>
      </c>
      <c r="K33" s="168">
        <f t="shared" si="12"/>
        <v>0</v>
      </c>
      <c r="L33" s="168">
        <f t="shared" si="16"/>
        <v>0</v>
      </c>
      <c r="M33" s="168">
        <f t="shared" si="17"/>
        <v>0</v>
      </c>
      <c r="N33" s="206">
        <v>0</v>
      </c>
      <c r="O33" s="180">
        <f t="shared" si="13"/>
        <v>0</v>
      </c>
      <c r="P33" s="180">
        <f t="shared" si="14"/>
        <v>0</v>
      </c>
      <c r="Q33" s="180">
        <f t="shared" si="18"/>
        <v>0</v>
      </c>
      <c r="R33" s="180">
        <f t="shared" si="19"/>
        <v>9020.8799999999992</v>
      </c>
      <c r="S33" s="180">
        <f t="shared" si="20"/>
        <v>0</v>
      </c>
      <c r="T33" s="180">
        <f t="shared" si="21"/>
        <v>420.88</v>
      </c>
      <c r="U33" s="180">
        <f t="shared" si="22"/>
        <v>8600</v>
      </c>
      <c r="V33" s="180">
        <f t="shared" si="23"/>
        <v>0</v>
      </c>
      <c r="W33" s="180">
        <f t="shared" si="15"/>
        <v>0</v>
      </c>
      <c r="Y33" s="175"/>
    </row>
    <row r="34" spans="2:25" x14ac:dyDescent="0.35">
      <c r="B34" s="158" t="s">
        <v>267</v>
      </c>
      <c r="C34" s="100" t="s">
        <v>26</v>
      </c>
      <c r="D34" s="103" t="s">
        <v>6</v>
      </c>
      <c r="E34" s="206">
        <v>3000</v>
      </c>
      <c r="F34" s="206">
        <v>3000</v>
      </c>
      <c r="G34" s="206">
        <v>0</v>
      </c>
      <c r="H34" s="206">
        <v>0</v>
      </c>
      <c r="I34" s="206">
        <v>0</v>
      </c>
      <c r="J34" s="206">
        <v>0</v>
      </c>
      <c r="K34" s="168">
        <f t="shared" si="12"/>
        <v>0</v>
      </c>
      <c r="L34" s="168">
        <f t="shared" si="16"/>
        <v>0</v>
      </c>
      <c r="M34" s="168">
        <f t="shared" si="17"/>
        <v>0</v>
      </c>
      <c r="N34" s="206">
        <v>0</v>
      </c>
      <c r="O34" s="180">
        <f t="shared" si="13"/>
        <v>0</v>
      </c>
      <c r="P34" s="180">
        <f t="shared" si="14"/>
        <v>0</v>
      </c>
      <c r="Q34" s="180">
        <f t="shared" si="18"/>
        <v>0</v>
      </c>
      <c r="R34" s="180">
        <f t="shared" si="19"/>
        <v>3000</v>
      </c>
      <c r="S34" s="180">
        <f t="shared" si="20"/>
        <v>0</v>
      </c>
      <c r="T34" s="180">
        <f t="shared" si="21"/>
        <v>0</v>
      </c>
      <c r="U34" s="180">
        <f t="shared" si="22"/>
        <v>3000</v>
      </c>
      <c r="V34" s="180">
        <f t="shared" si="23"/>
        <v>0</v>
      </c>
      <c r="W34" s="180">
        <f t="shared" si="15"/>
        <v>0</v>
      </c>
      <c r="Y34" s="175"/>
    </row>
    <row r="35" spans="2:25" x14ac:dyDescent="0.35">
      <c r="B35" s="158" t="s">
        <v>268</v>
      </c>
      <c r="C35" s="100" t="s">
        <v>102</v>
      </c>
      <c r="D35" s="103" t="s">
        <v>103</v>
      </c>
      <c r="E35" s="206">
        <v>399757.45</v>
      </c>
      <c r="F35" s="206">
        <v>393385</v>
      </c>
      <c r="G35" s="206">
        <v>0</v>
      </c>
      <c r="H35" s="206">
        <v>6372.45</v>
      </c>
      <c r="I35" s="206">
        <v>0</v>
      </c>
      <c r="J35" s="206">
        <v>334976.73</v>
      </c>
      <c r="K35" s="168">
        <f t="shared" si="12"/>
        <v>0</v>
      </c>
      <c r="L35" s="168">
        <f t="shared" si="16"/>
        <v>6372.45</v>
      </c>
      <c r="M35" s="168">
        <f t="shared" si="17"/>
        <v>328604.27999999997</v>
      </c>
      <c r="N35" s="206">
        <f>157840+120000</f>
        <v>277840</v>
      </c>
      <c r="O35" s="180">
        <f t="shared" si="13"/>
        <v>0</v>
      </c>
      <c r="P35" s="180">
        <f t="shared" si="14"/>
        <v>0</v>
      </c>
      <c r="Q35" s="180">
        <f t="shared" si="18"/>
        <v>277840</v>
      </c>
      <c r="R35" s="180">
        <f t="shared" si="19"/>
        <v>-213059.27999999997</v>
      </c>
      <c r="S35" s="180">
        <f t="shared" si="20"/>
        <v>0</v>
      </c>
      <c r="T35" s="180">
        <f t="shared" si="21"/>
        <v>0</v>
      </c>
      <c r="U35" s="180">
        <f t="shared" si="22"/>
        <v>-213059.27999999997</v>
      </c>
      <c r="V35" s="180">
        <f t="shared" si="23"/>
        <v>606444.28</v>
      </c>
      <c r="W35" s="180">
        <f t="shared" si="15"/>
        <v>612816.73</v>
      </c>
      <c r="Y35" s="175"/>
    </row>
    <row r="36" spans="2:25" x14ac:dyDescent="0.35">
      <c r="C36" s="90"/>
      <c r="D36" s="138"/>
      <c r="E36" s="171"/>
      <c r="F36" s="171"/>
      <c r="G36" s="171"/>
      <c r="H36" s="171"/>
      <c r="I36" s="171"/>
      <c r="J36" s="171"/>
      <c r="K36" s="174"/>
      <c r="L36" s="174"/>
      <c r="M36" s="174"/>
      <c r="N36" s="175"/>
      <c r="O36" s="175"/>
      <c r="P36" s="175"/>
      <c r="Q36" s="175"/>
      <c r="R36" s="175"/>
      <c r="S36" s="175"/>
      <c r="T36" s="175"/>
      <c r="U36" s="175"/>
      <c r="V36" s="175"/>
      <c r="W36" s="175"/>
    </row>
    <row r="37" spans="2:25" s="139" customFormat="1" x14ac:dyDescent="0.35">
      <c r="B37" s="161"/>
      <c r="C37" s="104"/>
      <c r="D37" s="101" t="s">
        <v>111</v>
      </c>
      <c r="E37" s="176">
        <f t="shared" ref="E37:I37" si="24">SUM(E38:E44)</f>
        <v>2662374.79</v>
      </c>
      <c r="F37" s="176">
        <f t="shared" si="24"/>
        <v>2198081.6100000003</v>
      </c>
      <c r="G37" s="176">
        <f t="shared" si="24"/>
        <v>0</v>
      </c>
      <c r="H37" s="176">
        <f t="shared" si="24"/>
        <v>464293.18</v>
      </c>
      <c r="I37" s="176">
        <f t="shared" si="24"/>
        <v>0</v>
      </c>
      <c r="J37" s="176">
        <f t="shared" ref="J37:U37" si="25">SUM(J38:J44)</f>
        <v>1424386.12</v>
      </c>
      <c r="K37" s="176">
        <f t="shared" si="25"/>
        <v>0</v>
      </c>
      <c r="L37" s="176">
        <f t="shared" si="25"/>
        <v>216415.62</v>
      </c>
      <c r="M37" s="176">
        <f t="shared" si="25"/>
        <v>1207970.5</v>
      </c>
      <c r="N37" s="176">
        <f t="shared" si="25"/>
        <v>817792.04</v>
      </c>
      <c r="O37" s="176">
        <f t="shared" ref="O37" si="26">SUM(O38:O44)</f>
        <v>0</v>
      </c>
      <c r="P37" s="176">
        <f t="shared" si="25"/>
        <v>247877.56</v>
      </c>
      <c r="Q37" s="176">
        <f t="shared" si="25"/>
        <v>569914.4800000001</v>
      </c>
      <c r="R37" s="176">
        <f t="shared" si="25"/>
        <v>420196.63</v>
      </c>
      <c r="S37" s="176">
        <f t="shared" si="25"/>
        <v>0</v>
      </c>
      <c r="T37" s="176">
        <f t="shared" si="25"/>
        <v>0</v>
      </c>
      <c r="U37" s="176">
        <f t="shared" si="25"/>
        <v>420196.63</v>
      </c>
      <c r="V37" s="176">
        <f t="shared" ref="V37:W37" si="27">SUM(V38:V44)</f>
        <v>1777884.9799999997</v>
      </c>
      <c r="W37" s="176">
        <f t="shared" si="27"/>
        <v>2242178.1599999997</v>
      </c>
    </row>
    <row r="38" spans="2:25" x14ac:dyDescent="0.35">
      <c r="B38" s="158" t="s">
        <v>269</v>
      </c>
      <c r="C38" s="100" t="s">
        <v>27</v>
      </c>
      <c r="D38" s="102" t="s">
        <v>66</v>
      </c>
      <c r="E38" s="206">
        <v>764042.63</v>
      </c>
      <c r="F38" s="206">
        <v>363750</v>
      </c>
      <c r="G38" s="206">
        <v>0</v>
      </c>
      <c r="H38" s="206">
        <v>400292.63</v>
      </c>
      <c r="I38" s="206">
        <v>0</v>
      </c>
      <c r="J38" s="206">
        <v>152415.07</v>
      </c>
      <c r="K38" s="168">
        <f t="shared" ref="K38:K44" si="28">IF(AND(G38&gt;0, J38&gt;0), MIN(J38, G38), 0)</f>
        <v>0</v>
      </c>
      <c r="L38" s="168">
        <f t="shared" ref="L38" si="29">IF(AND(H38&gt;0, J38&gt;0), MIN(H38, J38 - K38), 0)</f>
        <v>152415.07</v>
      </c>
      <c r="M38" s="168">
        <f t="shared" ref="M38" si="30">IF(J38&lt;0, J38, MAX(0, J38 - K38 - L38))</f>
        <v>0</v>
      </c>
      <c r="N38" s="206">
        <v>581046.18000000005</v>
      </c>
      <c r="O38" s="180">
        <f t="shared" ref="O38:O44" si="31">IF(N38&gt;0, MIN(N38, MAX(0, G38 - K38)), 0)</f>
        <v>0</v>
      </c>
      <c r="P38" s="180">
        <f t="shared" ref="P38:P44" si="32">IF((N38-O38)&gt;0, MIN((N38-O38), MAX(0, (H38-O38) - (L38-O38))), 0)</f>
        <v>247877.56</v>
      </c>
      <c r="Q38" s="180">
        <f t="shared" ref="Q38:Q44" si="33">N38-O38-P38</f>
        <v>333168.62000000005</v>
      </c>
      <c r="R38" s="180">
        <f t="shared" ref="R38:R44" si="34">SUM(S38:U38)</f>
        <v>30581.379999999946</v>
      </c>
      <c r="S38" s="180">
        <f t="shared" ref="S38:S44" si="35">G38-K38-O38</f>
        <v>0</v>
      </c>
      <c r="T38" s="180">
        <f t="shared" ref="T38:T44" si="36">H38-L38-P38</f>
        <v>0</v>
      </c>
      <c r="U38" s="180">
        <f t="shared" ref="U38:U44" si="37">F38+I38-M38-Q38</f>
        <v>30581.379999999946</v>
      </c>
      <c r="V38" s="180">
        <f t="shared" ref="V38:V44" si="38">M38+Q38</f>
        <v>333168.62000000005</v>
      </c>
      <c r="W38" s="180">
        <f t="shared" ref="W38:W44" si="39">J38+N38</f>
        <v>733461.25</v>
      </c>
      <c r="Y38" s="175"/>
    </row>
    <row r="39" spans="2:25" x14ac:dyDescent="0.35">
      <c r="B39" s="158" t="s">
        <v>270</v>
      </c>
      <c r="C39" s="100" t="s">
        <v>99</v>
      </c>
      <c r="D39" s="102" t="s">
        <v>109</v>
      </c>
      <c r="E39" s="206">
        <v>76376.509999999995</v>
      </c>
      <c r="F39" s="206">
        <v>73500</v>
      </c>
      <c r="G39" s="206">
        <v>0</v>
      </c>
      <c r="H39" s="206">
        <v>2876.51</v>
      </c>
      <c r="I39" s="206">
        <v>0</v>
      </c>
      <c r="J39" s="206">
        <v>37821</v>
      </c>
      <c r="K39" s="168">
        <f t="shared" si="28"/>
        <v>0</v>
      </c>
      <c r="L39" s="168">
        <f t="shared" ref="L39:L44" si="40">IF(AND(H39&gt;0, J39&gt;0), MIN(H39, J39 - K39), 0)</f>
        <v>2876.51</v>
      </c>
      <c r="M39" s="168">
        <f t="shared" ref="M39:M44" si="41">IF(J39&lt;0, J39, MAX(0, J39 - K39 - L39))</f>
        <v>34944.49</v>
      </c>
      <c r="N39" s="206">
        <v>0</v>
      </c>
      <c r="O39" s="180">
        <f t="shared" si="31"/>
        <v>0</v>
      </c>
      <c r="P39" s="180">
        <f t="shared" si="32"/>
        <v>0</v>
      </c>
      <c r="Q39" s="180">
        <f t="shared" si="33"/>
        <v>0</v>
      </c>
      <c r="R39" s="180">
        <f t="shared" si="34"/>
        <v>38555.51</v>
      </c>
      <c r="S39" s="180">
        <f t="shared" si="35"/>
        <v>0</v>
      </c>
      <c r="T39" s="180">
        <f t="shared" si="36"/>
        <v>0</v>
      </c>
      <c r="U39" s="180">
        <f t="shared" si="37"/>
        <v>38555.51</v>
      </c>
      <c r="V39" s="180">
        <f t="shared" si="38"/>
        <v>34944.49</v>
      </c>
      <c r="W39" s="180">
        <f t="shared" si="39"/>
        <v>37821</v>
      </c>
    </row>
    <row r="40" spans="2:25" x14ac:dyDescent="0.35">
      <c r="B40" s="158" t="s">
        <v>271</v>
      </c>
      <c r="C40" s="100" t="s">
        <v>28</v>
      </c>
      <c r="D40" s="102" t="s">
        <v>0</v>
      </c>
      <c r="E40" s="206">
        <v>1156581.6100000001</v>
      </c>
      <c r="F40" s="206">
        <v>1156581.6100000001</v>
      </c>
      <c r="G40" s="206">
        <v>0</v>
      </c>
      <c r="H40" s="206">
        <v>0</v>
      </c>
      <c r="I40" s="206">
        <v>0</v>
      </c>
      <c r="J40" s="206">
        <v>806542.49</v>
      </c>
      <c r="K40" s="168">
        <f t="shared" si="28"/>
        <v>0</v>
      </c>
      <c r="L40" s="168">
        <f t="shared" si="40"/>
        <v>0</v>
      </c>
      <c r="M40" s="168">
        <f t="shared" si="41"/>
        <v>806542.49</v>
      </c>
      <c r="N40" s="206">
        <v>107896.35</v>
      </c>
      <c r="O40" s="180">
        <f t="shared" si="31"/>
        <v>0</v>
      </c>
      <c r="P40" s="180">
        <f t="shared" si="32"/>
        <v>0</v>
      </c>
      <c r="Q40" s="180">
        <f t="shared" si="33"/>
        <v>107896.35</v>
      </c>
      <c r="R40" s="180">
        <f t="shared" si="34"/>
        <v>242142.77000000011</v>
      </c>
      <c r="S40" s="180">
        <f t="shared" si="35"/>
        <v>0</v>
      </c>
      <c r="T40" s="180">
        <f t="shared" si="36"/>
        <v>0</v>
      </c>
      <c r="U40" s="180">
        <f t="shared" si="37"/>
        <v>242142.77000000011</v>
      </c>
      <c r="V40" s="180">
        <f t="shared" si="38"/>
        <v>914438.84</v>
      </c>
      <c r="W40" s="180">
        <f t="shared" si="39"/>
        <v>914438.84</v>
      </c>
    </row>
    <row r="41" spans="2:25" x14ac:dyDescent="0.35">
      <c r="B41" s="158" t="s">
        <v>272</v>
      </c>
      <c r="C41" s="100" t="s">
        <v>29</v>
      </c>
      <c r="D41" s="102" t="s">
        <v>7</v>
      </c>
      <c r="E41" s="206">
        <v>365599.36</v>
      </c>
      <c r="F41" s="206">
        <v>306250</v>
      </c>
      <c r="G41" s="206">
        <v>0</v>
      </c>
      <c r="H41" s="206">
        <v>59349.36</v>
      </c>
      <c r="I41" s="206">
        <v>0</v>
      </c>
      <c r="J41" s="206">
        <v>213465.72</v>
      </c>
      <c r="K41" s="168">
        <f t="shared" si="28"/>
        <v>0</v>
      </c>
      <c r="L41" s="168">
        <f t="shared" si="40"/>
        <v>59349.36</v>
      </c>
      <c r="M41" s="168">
        <f t="shared" si="41"/>
        <v>154116.35999999999</v>
      </c>
      <c r="N41" s="206">
        <v>57899.51</v>
      </c>
      <c r="O41" s="180">
        <f t="shared" si="31"/>
        <v>0</v>
      </c>
      <c r="P41" s="180">
        <f t="shared" si="32"/>
        <v>0</v>
      </c>
      <c r="Q41" s="180">
        <f t="shared" si="33"/>
        <v>57899.51</v>
      </c>
      <c r="R41" s="180">
        <f t="shared" si="34"/>
        <v>94234.13</v>
      </c>
      <c r="S41" s="180">
        <f t="shared" si="35"/>
        <v>0</v>
      </c>
      <c r="T41" s="180">
        <f t="shared" si="36"/>
        <v>0</v>
      </c>
      <c r="U41" s="180">
        <f t="shared" si="37"/>
        <v>94234.13</v>
      </c>
      <c r="V41" s="180">
        <f t="shared" si="38"/>
        <v>212015.87</v>
      </c>
      <c r="W41" s="180">
        <f t="shared" si="39"/>
        <v>271365.23</v>
      </c>
    </row>
    <row r="42" spans="2:25" x14ac:dyDescent="0.35">
      <c r="B42" s="158" t="s">
        <v>273</v>
      </c>
      <c r="C42" s="100" t="s">
        <v>30</v>
      </c>
      <c r="D42" s="102" t="s">
        <v>8</v>
      </c>
      <c r="E42" s="206">
        <v>50000</v>
      </c>
      <c r="F42" s="206">
        <v>50000</v>
      </c>
      <c r="G42" s="206">
        <v>0</v>
      </c>
      <c r="H42" s="206">
        <v>0</v>
      </c>
      <c r="I42" s="206">
        <v>0</v>
      </c>
      <c r="J42" s="206">
        <v>0</v>
      </c>
      <c r="K42" s="168">
        <f t="shared" si="28"/>
        <v>0</v>
      </c>
      <c r="L42" s="168">
        <f t="shared" si="40"/>
        <v>0</v>
      </c>
      <c r="M42" s="168">
        <f t="shared" si="41"/>
        <v>0</v>
      </c>
      <c r="N42" s="206">
        <v>70950</v>
      </c>
      <c r="O42" s="180">
        <f t="shared" si="31"/>
        <v>0</v>
      </c>
      <c r="P42" s="180">
        <f t="shared" si="32"/>
        <v>0</v>
      </c>
      <c r="Q42" s="180">
        <f t="shared" si="33"/>
        <v>70950</v>
      </c>
      <c r="R42" s="180">
        <f t="shared" si="34"/>
        <v>-20950</v>
      </c>
      <c r="S42" s="180">
        <f t="shared" si="35"/>
        <v>0</v>
      </c>
      <c r="T42" s="180">
        <f t="shared" si="36"/>
        <v>0</v>
      </c>
      <c r="U42" s="180">
        <f t="shared" si="37"/>
        <v>-20950</v>
      </c>
      <c r="V42" s="180">
        <f t="shared" si="38"/>
        <v>70950</v>
      </c>
      <c r="W42" s="180">
        <f t="shared" si="39"/>
        <v>70950</v>
      </c>
    </row>
    <row r="43" spans="2:25" x14ac:dyDescent="0.35">
      <c r="B43" s="158" t="s">
        <v>272</v>
      </c>
      <c r="C43" s="100" t="s">
        <v>31</v>
      </c>
      <c r="D43" s="102" t="s">
        <v>9</v>
      </c>
      <c r="E43" s="206">
        <v>246774.68</v>
      </c>
      <c r="F43" s="206">
        <v>245000</v>
      </c>
      <c r="G43" s="206">
        <v>0</v>
      </c>
      <c r="H43" s="206">
        <v>1774.68</v>
      </c>
      <c r="I43" s="206">
        <v>0</v>
      </c>
      <c r="J43" s="206">
        <v>214141.84</v>
      </c>
      <c r="K43" s="168">
        <f t="shared" si="28"/>
        <v>0</v>
      </c>
      <c r="L43" s="168">
        <f t="shared" si="40"/>
        <v>1774.68</v>
      </c>
      <c r="M43" s="168">
        <f t="shared" si="41"/>
        <v>212367.16</v>
      </c>
      <c r="N43" s="206">
        <v>0</v>
      </c>
      <c r="O43" s="180">
        <f t="shared" si="31"/>
        <v>0</v>
      </c>
      <c r="P43" s="180">
        <f t="shared" si="32"/>
        <v>0</v>
      </c>
      <c r="Q43" s="180">
        <f t="shared" si="33"/>
        <v>0</v>
      </c>
      <c r="R43" s="180">
        <f t="shared" si="34"/>
        <v>32632.839999999997</v>
      </c>
      <c r="S43" s="180">
        <f t="shared" si="35"/>
        <v>0</v>
      </c>
      <c r="T43" s="180">
        <f t="shared" si="36"/>
        <v>0</v>
      </c>
      <c r="U43" s="180">
        <f t="shared" si="37"/>
        <v>32632.839999999997</v>
      </c>
      <c r="V43" s="180">
        <f t="shared" si="38"/>
        <v>212367.16</v>
      </c>
      <c r="W43" s="180">
        <f t="shared" si="39"/>
        <v>214141.84</v>
      </c>
    </row>
    <row r="44" spans="2:25" x14ac:dyDescent="0.35">
      <c r="B44" s="158" t="s">
        <v>274</v>
      </c>
      <c r="C44" s="100" t="s">
        <v>32</v>
      </c>
      <c r="D44" s="102" t="s">
        <v>10</v>
      </c>
      <c r="E44" s="206">
        <v>3000</v>
      </c>
      <c r="F44" s="206">
        <v>3000</v>
      </c>
      <c r="G44" s="206">
        <v>0</v>
      </c>
      <c r="H44" s="206">
        <v>0</v>
      </c>
      <c r="I44" s="206">
        <v>0</v>
      </c>
      <c r="J44" s="206">
        <v>0</v>
      </c>
      <c r="K44" s="168">
        <f t="shared" si="28"/>
        <v>0</v>
      </c>
      <c r="L44" s="168">
        <f t="shared" si="40"/>
        <v>0</v>
      </c>
      <c r="M44" s="168">
        <f t="shared" si="41"/>
        <v>0</v>
      </c>
      <c r="N44" s="206">
        <v>0</v>
      </c>
      <c r="O44" s="180">
        <f t="shared" si="31"/>
        <v>0</v>
      </c>
      <c r="P44" s="180">
        <f t="shared" si="32"/>
        <v>0</v>
      </c>
      <c r="Q44" s="180">
        <f t="shared" si="33"/>
        <v>0</v>
      </c>
      <c r="R44" s="180">
        <f t="shared" si="34"/>
        <v>3000</v>
      </c>
      <c r="S44" s="180">
        <f t="shared" si="35"/>
        <v>0</v>
      </c>
      <c r="T44" s="180">
        <f t="shared" si="36"/>
        <v>0</v>
      </c>
      <c r="U44" s="180">
        <f t="shared" si="37"/>
        <v>3000</v>
      </c>
      <c r="V44" s="180">
        <f t="shared" si="38"/>
        <v>0</v>
      </c>
      <c r="W44" s="180">
        <f t="shared" si="39"/>
        <v>0</v>
      </c>
    </row>
    <row r="45" spans="2:25" x14ac:dyDescent="0.35">
      <c r="C45" s="86"/>
      <c r="D45" s="138"/>
      <c r="E45" s="171"/>
      <c r="F45" s="171"/>
      <c r="G45" s="171"/>
      <c r="H45" s="171"/>
      <c r="I45" s="171"/>
      <c r="J45" s="171"/>
      <c r="K45" s="174"/>
      <c r="L45" s="174"/>
      <c r="M45" s="174"/>
      <c r="N45" s="175"/>
      <c r="O45" s="175"/>
      <c r="P45" s="175"/>
      <c r="Q45" s="175"/>
      <c r="R45" s="175"/>
      <c r="S45" s="175"/>
      <c r="T45" s="175"/>
      <c r="U45" s="175"/>
      <c r="V45" s="175"/>
      <c r="W45" s="175"/>
    </row>
    <row r="46" spans="2:25" s="139" customFormat="1" x14ac:dyDescent="0.35">
      <c r="B46" s="161"/>
      <c r="C46" s="104"/>
      <c r="D46" s="101" t="s">
        <v>110</v>
      </c>
      <c r="E46" s="176">
        <f t="shared" ref="E46:I46" si="42">SUM(E47:E51)</f>
        <v>1529288.29</v>
      </c>
      <c r="F46" s="176">
        <f t="shared" si="42"/>
        <v>1373167.2860752689</v>
      </c>
      <c r="G46" s="176">
        <f t="shared" si="42"/>
        <v>0</v>
      </c>
      <c r="H46" s="176">
        <f t="shared" si="42"/>
        <v>156121</v>
      </c>
      <c r="I46" s="176">
        <f t="shared" si="42"/>
        <v>0</v>
      </c>
      <c r="J46" s="176">
        <f t="shared" ref="J46:U46" si="43">SUM(J47:J51)</f>
        <v>1004316.37</v>
      </c>
      <c r="K46" s="176">
        <f t="shared" si="43"/>
        <v>0</v>
      </c>
      <c r="L46" s="176">
        <f t="shared" si="43"/>
        <v>156121</v>
      </c>
      <c r="M46" s="176">
        <f t="shared" si="43"/>
        <v>848195.37</v>
      </c>
      <c r="N46" s="176">
        <f t="shared" si="43"/>
        <v>849830.78</v>
      </c>
      <c r="O46" s="176">
        <f t="shared" ref="O46" si="44">SUM(O47:O51)</f>
        <v>0</v>
      </c>
      <c r="P46" s="176">
        <f t="shared" si="43"/>
        <v>0</v>
      </c>
      <c r="Q46" s="176">
        <f t="shared" si="43"/>
        <v>849830.78</v>
      </c>
      <c r="R46" s="176">
        <f t="shared" si="43"/>
        <v>-324858.86392473115</v>
      </c>
      <c r="S46" s="176">
        <f t="shared" si="43"/>
        <v>0</v>
      </c>
      <c r="T46" s="176">
        <f t="shared" si="43"/>
        <v>0</v>
      </c>
      <c r="U46" s="176">
        <f t="shared" si="43"/>
        <v>-324858.86392473115</v>
      </c>
      <c r="V46" s="176">
        <f t="shared" ref="V46:W46" si="45">SUM(V47:V51)</f>
        <v>1698026.15</v>
      </c>
      <c r="W46" s="176">
        <f t="shared" si="45"/>
        <v>1854147.15</v>
      </c>
    </row>
    <row r="47" spans="2:25" x14ac:dyDescent="0.35">
      <c r="B47" s="158" t="s">
        <v>275</v>
      </c>
      <c r="C47" s="100" t="s">
        <v>33</v>
      </c>
      <c r="D47" s="105" t="s">
        <v>191</v>
      </c>
      <c r="E47" s="206">
        <v>447226.03</v>
      </c>
      <c r="F47" s="206">
        <v>442035.0260752688</v>
      </c>
      <c r="G47" s="206">
        <v>0</v>
      </c>
      <c r="H47" s="206">
        <v>5191</v>
      </c>
      <c r="I47" s="206">
        <v>0</v>
      </c>
      <c r="J47" s="206">
        <v>283282.34999999998</v>
      </c>
      <c r="K47" s="168">
        <f>IF(AND(G47&gt;0, J47&gt;0), MIN(J47, G47), 0)</f>
        <v>0</v>
      </c>
      <c r="L47" s="168">
        <f t="shared" ref="L47" si="46">IF(AND(H47&gt;0, J47&gt;0), MIN(H47, J47 - K47), 0)</f>
        <v>5191</v>
      </c>
      <c r="M47" s="168">
        <f t="shared" ref="M47" si="47">IF(J47&lt;0, J47, MAX(0, J47 - K47 - L47))</f>
        <v>278091.34999999998</v>
      </c>
      <c r="N47" s="208">
        <f>368581.18+120000+52696.78-81053.18</f>
        <v>460224.77999999997</v>
      </c>
      <c r="O47" s="180">
        <f>IF(N47&gt;0, MIN(N47, MAX(0, G47 - K47)), 0)</f>
        <v>0</v>
      </c>
      <c r="P47" s="180">
        <f t="shared" ref="P47:P51" si="48">IF((N47-O47)&gt;0, MIN((N47-O47), MAX(0, (H47-O47) - (L47-O47))), 0)</f>
        <v>0</v>
      </c>
      <c r="Q47" s="180">
        <f t="shared" ref="Q47:Q51" si="49">N47-O47-P47</f>
        <v>460224.77999999997</v>
      </c>
      <c r="R47" s="180">
        <f t="shared" ref="R47:R51" si="50">SUM(S47:U47)</f>
        <v>-296281.10392473114</v>
      </c>
      <c r="S47" s="180">
        <f>G47-K47-O47</f>
        <v>0</v>
      </c>
      <c r="T47" s="180">
        <f t="shared" ref="T47:T51" si="51">H47-L47-P47</f>
        <v>0</v>
      </c>
      <c r="U47" s="180">
        <f t="shared" ref="U47:U51" si="52">F47+I47-M47-Q47</f>
        <v>-296281.10392473114</v>
      </c>
      <c r="V47" s="180">
        <f t="shared" ref="V47:V51" si="53">M47+Q47</f>
        <v>738316.12999999989</v>
      </c>
      <c r="W47" s="180">
        <f>J47+N47</f>
        <v>743507.12999999989</v>
      </c>
    </row>
    <row r="48" spans="2:25" x14ac:dyDescent="0.35">
      <c r="B48" s="158" t="s">
        <v>276</v>
      </c>
      <c r="C48" s="100" t="s">
        <v>33</v>
      </c>
      <c r="D48" s="105" t="s">
        <v>135</v>
      </c>
      <c r="E48" s="206">
        <v>76723</v>
      </c>
      <c r="F48" s="206">
        <v>75793</v>
      </c>
      <c r="G48" s="206">
        <v>0</v>
      </c>
      <c r="H48" s="206">
        <v>930</v>
      </c>
      <c r="I48" s="206">
        <v>0</v>
      </c>
      <c r="J48" s="206">
        <v>34976.400000000001</v>
      </c>
      <c r="K48" s="168">
        <f>IF(AND(G48&gt;0, J48&gt;0), MIN(J48, G48), 0)</f>
        <v>0</v>
      </c>
      <c r="L48" s="168">
        <f t="shared" ref="L48:L51" si="54">IF(AND(H48&gt;0, J48&gt;0), MIN(H48, J48 - K48), 0)</f>
        <v>930</v>
      </c>
      <c r="M48" s="168">
        <f t="shared" ref="M48:M51" si="55">IF(J48&lt;0, J48, MAX(0, J48 - K48 - L48))</f>
        <v>34046.400000000001</v>
      </c>
      <c r="N48" s="208">
        <v>0</v>
      </c>
      <c r="O48" s="180">
        <f>IF(N48&gt;0, MIN(N48, MAX(0, G48 - K48)), 0)</f>
        <v>0</v>
      </c>
      <c r="P48" s="180">
        <f t="shared" si="48"/>
        <v>0</v>
      </c>
      <c r="Q48" s="180">
        <f t="shared" si="49"/>
        <v>0</v>
      </c>
      <c r="R48" s="180">
        <f t="shared" si="50"/>
        <v>41746.6</v>
      </c>
      <c r="S48" s="180">
        <f>G48-K48-O48</f>
        <v>0</v>
      </c>
      <c r="T48" s="180">
        <f t="shared" si="51"/>
        <v>0</v>
      </c>
      <c r="U48" s="180">
        <f t="shared" si="52"/>
        <v>41746.6</v>
      </c>
      <c r="V48" s="180">
        <f t="shared" si="53"/>
        <v>34046.400000000001</v>
      </c>
      <c r="W48" s="180">
        <f>J48+N48</f>
        <v>34976.400000000001</v>
      </c>
    </row>
    <row r="49" spans="2:23" x14ac:dyDescent="0.35">
      <c r="B49" s="158" t="s">
        <v>277</v>
      </c>
      <c r="C49" s="100" t="s">
        <v>33</v>
      </c>
      <c r="D49" s="105" t="s">
        <v>198</v>
      </c>
      <c r="E49" s="206">
        <v>606408.04</v>
      </c>
      <c r="F49" s="206">
        <v>456408.04000000004</v>
      </c>
      <c r="G49" s="206">
        <v>0</v>
      </c>
      <c r="H49" s="206">
        <v>150000</v>
      </c>
      <c r="I49" s="206">
        <v>0</v>
      </c>
      <c r="J49" s="206">
        <v>262000</v>
      </c>
      <c r="K49" s="168">
        <f>IF(AND(G49&gt;0, J49&gt;0), MIN(J49, G49), 0)</f>
        <v>0</v>
      </c>
      <c r="L49" s="168">
        <f t="shared" si="54"/>
        <v>150000</v>
      </c>
      <c r="M49" s="168">
        <f t="shared" si="55"/>
        <v>112000</v>
      </c>
      <c r="N49" s="208">
        <v>344000</v>
      </c>
      <c r="O49" s="180">
        <f>IF(N49&gt;0, MIN(N49, MAX(0, G49 - K49)), 0)</f>
        <v>0</v>
      </c>
      <c r="P49" s="180">
        <f t="shared" si="48"/>
        <v>0</v>
      </c>
      <c r="Q49" s="180">
        <f t="shared" si="49"/>
        <v>344000</v>
      </c>
      <c r="R49" s="180">
        <f t="shared" si="50"/>
        <v>408.04000000003725</v>
      </c>
      <c r="S49" s="180">
        <f>G49-K49-O49</f>
        <v>0</v>
      </c>
      <c r="T49" s="180">
        <f t="shared" si="51"/>
        <v>0</v>
      </c>
      <c r="U49" s="180">
        <f t="shared" si="52"/>
        <v>408.04000000003725</v>
      </c>
      <c r="V49" s="180">
        <f t="shared" si="53"/>
        <v>456000</v>
      </c>
      <c r="W49" s="180">
        <f>J49+N49</f>
        <v>606000</v>
      </c>
    </row>
    <row r="50" spans="2:23" x14ac:dyDescent="0.35">
      <c r="B50" s="158" t="s">
        <v>278</v>
      </c>
      <c r="C50" s="100" t="s">
        <v>33</v>
      </c>
      <c r="D50" s="105" t="s">
        <v>136</v>
      </c>
      <c r="E50" s="206">
        <v>355497</v>
      </c>
      <c r="F50" s="206">
        <v>355497</v>
      </c>
      <c r="G50" s="206">
        <v>0</v>
      </c>
      <c r="H50" s="206">
        <v>0</v>
      </c>
      <c r="I50" s="206">
        <v>0</v>
      </c>
      <c r="J50" s="206">
        <v>379770.12</v>
      </c>
      <c r="K50" s="168">
        <f>IF(AND(G50&gt;0, J50&gt;0), MIN(J50, G50), 0)</f>
        <v>0</v>
      </c>
      <c r="L50" s="168">
        <f t="shared" si="54"/>
        <v>0</v>
      </c>
      <c r="M50" s="168">
        <f t="shared" si="55"/>
        <v>379770.12</v>
      </c>
      <c r="N50" s="208">
        <v>0</v>
      </c>
      <c r="O50" s="180">
        <f>IF(N50&gt;0, MIN(N50, MAX(0, G50 - K50)), 0)</f>
        <v>0</v>
      </c>
      <c r="P50" s="180">
        <f t="shared" si="48"/>
        <v>0</v>
      </c>
      <c r="Q50" s="180">
        <f t="shared" si="49"/>
        <v>0</v>
      </c>
      <c r="R50" s="180">
        <f t="shared" si="50"/>
        <v>-24273.119999999995</v>
      </c>
      <c r="S50" s="180">
        <f>G50-K50-O50</f>
        <v>0</v>
      </c>
      <c r="T50" s="180">
        <f t="shared" si="51"/>
        <v>0</v>
      </c>
      <c r="U50" s="180">
        <f t="shared" si="52"/>
        <v>-24273.119999999995</v>
      </c>
      <c r="V50" s="180">
        <f t="shared" si="53"/>
        <v>379770.12</v>
      </c>
      <c r="W50" s="180">
        <f>J50+N50</f>
        <v>379770.12</v>
      </c>
    </row>
    <row r="51" spans="2:23" x14ac:dyDescent="0.35">
      <c r="B51" s="158" t="s">
        <v>279</v>
      </c>
      <c r="C51" s="100" t="s">
        <v>33</v>
      </c>
      <c r="D51" s="105" t="s">
        <v>106</v>
      </c>
      <c r="E51" s="206">
        <v>43434.22</v>
      </c>
      <c r="F51" s="206">
        <v>43434.22</v>
      </c>
      <c r="G51" s="206">
        <v>0</v>
      </c>
      <c r="H51" s="206">
        <v>0</v>
      </c>
      <c r="I51" s="206">
        <v>0</v>
      </c>
      <c r="J51" s="206">
        <v>44287.5</v>
      </c>
      <c r="K51" s="168">
        <f>IF(AND(G51&gt;0, J51&gt;0), MIN(J51, G51), 0)</f>
        <v>0</v>
      </c>
      <c r="L51" s="168">
        <f t="shared" si="54"/>
        <v>0</v>
      </c>
      <c r="M51" s="168">
        <f t="shared" si="55"/>
        <v>44287.5</v>
      </c>
      <c r="N51" s="208">
        <v>45606</v>
      </c>
      <c r="O51" s="180">
        <f>IF(N51&gt;0, MIN(N51, MAX(0, G51 - K51)), 0)</f>
        <v>0</v>
      </c>
      <c r="P51" s="180">
        <f t="shared" si="48"/>
        <v>0</v>
      </c>
      <c r="Q51" s="180">
        <f t="shared" si="49"/>
        <v>45606</v>
      </c>
      <c r="R51" s="180">
        <f t="shared" si="50"/>
        <v>-46459.28</v>
      </c>
      <c r="S51" s="180">
        <f>G51-K51-O51</f>
        <v>0</v>
      </c>
      <c r="T51" s="180">
        <f t="shared" si="51"/>
        <v>0</v>
      </c>
      <c r="U51" s="180">
        <f t="shared" si="52"/>
        <v>-46459.28</v>
      </c>
      <c r="V51" s="180">
        <f t="shared" si="53"/>
        <v>89893.5</v>
      </c>
      <c r="W51" s="180">
        <f>J51+N51</f>
        <v>89893.5</v>
      </c>
    </row>
    <row r="52" spans="2:23" x14ac:dyDescent="0.35">
      <c r="C52" s="86"/>
      <c r="D52" s="138"/>
      <c r="E52" s="171"/>
      <c r="F52" s="171"/>
      <c r="G52" s="171"/>
      <c r="H52" s="171"/>
      <c r="I52" s="171"/>
      <c r="J52" s="171"/>
      <c r="K52" s="174"/>
      <c r="L52" s="174"/>
      <c r="M52" s="174"/>
      <c r="N52" s="175"/>
      <c r="O52" s="175"/>
      <c r="P52" s="175"/>
      <c r="Q52" s="175"/>
      <c r="R52" s="175">
        <f>R37+R46+R53</f>
        <v>-3.9247310487553477E-3</v>
      </c>
      <c r="S52" s="175"/>
      <c r="T52" s="175"/>
      <c r="U52" s="175"/>
      <c r="V52" s="175"/>
      <c r="W52" s="175"/>
    </row>
    <row r="53" spans="2:23" s="139" customFormat="1" x14ac:dyDescent="0.35">
      <c r="B53" s="161"/>
      <c r="C53" s="104"/>
      <c r="D53" s="101" t="s">
        <v>112</v>
      </c>
      <c r="E53" s="176">
        <f t="shared" ref="E53:I53" si="56">SUM(E54:E64)</f>
        <v>3218008.92</v>
      </c>
      <c r="F53" s="176">
        <f t="shared" si="56"/>
        <v>2241250</v>
      </c>
      <c r="G53" s="176">
        <f t="shared" si="56"/>
        <v>115756.35</v>
      </c>
      <c r="H53" s="176">
        <f t="shared" si="56"/>
        <v>861002.57</v>
      </c>
      <c r="I53" s="176">
        <f t="shared" si="56"/>
        <v>0</v>
      </c>
      <c r="J53" s="176">
        <f t="shared" ref="J53:U53" si="57">SUM(J54:J64)</f>
        <v>2478477.2400000002</v>
      </c>
      <c r="K53" s="176">
        <f t="shared" si="57"/>
        <v>115756.35</v>
      </c>
      <c r="L53" s="176">
        <f t="shared" si="57"/>
        <v>861002.57</v>
      </c>
      <c r="M53" s="176">
        <f t="shared" si="57"/>
        <v>1501718.3199999998</v>
      </c>
      <c r="N53" s="176">
        <f t="shared" si="57"/>
        <v>834869.45</v>
      </c>
      <c r="O53" s="176">
        <f t="shared" ref="O53" si="58">SUM(O54:O64)</f>
        <v>0</v>
      </c>
      <c r="P53" s="176">
        <f t="shared" si="57"/>
        <v>0</v>
      </c>
      <c r="Q53" s="176">
        <f t="shared" si="57"/>
        <v>834869.45</v>
      </c>
      <c r="R53" s="176">
        <f t="shared" si="57"/>
        <v>-95337.769999999902</v>
      </c>
      <c r="S53" s="176">
        <f t="shared" si="57"/>
        <v>0</v>
      </c>
      <c r="T53" s="176">
        <f t="shared" si="57"/>
        <v>0</v>
      </c>
      <c r="U53" s="176">
        <f t="shared" si="57"/>
        <v>-95337.769999999902</v>
      </c>
      <c r="V53" s="176">
        <f t="shared" ref="V53:W53" si="59">SUM(V54:V64)</f>
        <v>2336587.7699999996</v>
      </c>
      <c r="W53" s="176">
        <f t="shared" si="59"/>
        <v>3313346.6899999995</v>
      </c>
    </row>
    <row r="54" spans="2:23" x14ac:dyDescent="0.35">
      <c r="B54" s="158" t="s">
        <v>280</v>
      </c>
      <c r="C54" s="100" t="s">
        <v>34</v>
      </c>
      <c r="D54" s="102" t="s">
        <v>41</v>
      </c>
      <c r="E54" s="206">
        <v>214812.18</v>
      </c>
      <c r="F54" s="206">
        <v>200000</v>
      </c>
      <c r="G54" s="206">
        <v>0</v>
      </c>
      <c r="H54" s="206">
        <v>14812.18</v>
      </c>
      <c r="I54" s="206">
        <v>0</v>
      </c>
      <c r="J54" s="206">
        <v>221161.54</v>
      </c>
      <c r="K54" s="168">
        <f t="shared" ref="K54:K64" si="60">IF(AND(G54&gt;0, J54&gt;0), MIN(J54, G54), 0)</f>
        <v>0</v>
      </c>
      <c r="L54" s="168">
        <f t="shared" ref="L54" si="61">IF(AND(H54&gt;0, J54&gt;0), MIN(H54, J54 - K54), 0)</f>
        <v>14812.18</v>
      </c>
      <c r="M54" s="168">
        <f t="shared" ref="M54" si="62">IF(J54&lt;0, J54, MAX(0, J54 - K54 - L54))</f>
        <v>206349.36000000002</v>
      </c>
      <c r="N54" s="206">
        <v>100000</v>
      </c>
      <c r="O54" s="180">
        <f t="shared" ref="O54:O64" si="63">IF(N54&gt;0, MIN(N54, MAX(0, G54 - K54)), 0)</f>
        <v>0</v>
      </c>
      <c r="P54" s="180">
        <f t="shared" ref="P54:P64" si="64">IF((N54-O54)&gt;0, MIN((N54-O54), MAX(0, (H54-O54) - (L54-O54))), 0)</f>
        <v>0</v>
      </c>
      <c r="Q54" s="180">
        <f t="shared" ref="Q54:Q64" si="65">N54-O54-P54</f>
        <v>100000</v>
      </c>
      <c r="R54" s="180">
        <f t="shared" ref="R54:R64" si="66">SUM(S54:U54)</f>
        <v>-106349.36000000002</v>
      </c>
      <c r="S54" s="180">
        <f t="shared" ref="S54:S64" si="67">G54-K54-O54</f>
        <v>0</v>
      </c>
      <c r="T54" s="180">
        <f t="shared" ref="T54:T64" si="68">H54-L54-P54</f>
        <v>0</v>
      </c>
      <c r="U54" s="180">
        <f t="shared" ref="U54:U64" si="69">F54+I54-M54-Q54</f>
        <v>-106349.36000000002</v>
      </c>
      <c r="V54" s="180">
        <f t="shared" ref="V54:V64" si="70">M54+Q54</f>
        <v>306349.36</v>
      </c>
      <c r="W54" s="180">
        <f t="shared" ref="W54:W64" si="71">J54+N54</f>
        <v>321161.54000000004</v>
      </c>
    </row>
    <row r="55" spans="2:23" x14ac:dyDescent="0.35">
      <c r="B55" s="158" t="s">
        <v>281</v>
      </c>
      <c r="C55" s="100" t="s">
        <v>34</v>
      </c>
      <c r="D55" s="102" t="s">
        <v>154</v>
      </c>
      <c r="E55" s="206">
        <v>115619.78</v>
      </c>
      <c r="F55" s="206">
        <v>110000</v>
      </c>
      <c r="G55" s="206">
        <v>0</v>
      </c>
      <c r="H55" s="206">
        <v>5619.78</v>
      </c>
      <c r="I55" s="206">
        <v>0</v>
      </c>
      <c r="J55" s="206">
        <v>145873.9</v>
      </c>
      <c r="K55" s="168">
        <f t="shared" si="60"/>
        <v>0</v>
      </c>
      <c r="L55" s="168">
        <f t="shared" ref="L55:L64" si="72">IF(AND(H55&gt;0, J55&gt;0), MIN(H55, J55 - K55), 0)</f>
        <v>5619.78</v>
      </c>
      <c r="M55" s="168">
        <f t="shared" ref="M55:M64" si="73">IF(J55&lt;0, J55, MAX(0, J55 - K55 - L55))</f>
        <v>140254.12</v>
      </c>
      <c r="N55" s="206">
        <v>0</v>
      </c>
      <c r="O55" s="180">
        <f t="shared" si="63"/>
        <v>0</v>
      </c>
      <c r="P55" s="180">
        <f t="shared" si="64"/>
        <v>0</v>
      </c>
      <c r="Q55" s="180">
        <f t="shared" si="65"/>
        <v>0</v>
      </c>
      <c r="R55" s="180">
        <f t="shared" si="66"/>
        <v>-30254.119999999995</v>
      </c>
      <c r="S55" s="180">
        <f t="shared" si="67"/>
        <v>0</v>
      </c>
      <c r="T55" s="180">
        <f t="shared" si="68"/>
        <v>0</v>
      </c>
      <c r="U55" s="180">
        <f t="shared" si="69"/>
        <v>-30254.119999999995</v>
      </c>
      <c r="V55" s="180">
        <f t="shared" si="70"/>
        <v>140254.12</v>
      </c>
      <c r="W55" s="180">
        <f t="shared" si="71"/>
        <v>145873.9</v>
      </c>
    </row>
    <row r="56" spans="2:23" x14ac:dyDescent="0.35">
      <c r="B56" s="158" t="s">
        <v>282</v>
      </c>
      <c r="C56" s="100" t="s">
        <v>34</v>
      </c>
      <c r="D56" s="102" t="s">
        <v>42</v>
      </c>
      <c r="E56" s="206">
        <v>0</v>
      </c>
      <c r="F56" s="206">
        <v>0</v>
      </c>
      <c r="G56" s="206">
        <v>0</v>
      </c>
      <c r="H56" s="206">
        <v>0</v>
      </c>
      <c r="I56" s="206">
        <v>0</v>
      </c>
      <c r="J56" s="206">
        <v>11662</v>
      </c>
      <c r="K56" s="168">
        <f t="shared" si="60"/>
        <v>0</v>
      </c>
      <c r="L56" s="168">
        <f t="shared" si="72"/>
        <v>0</v>
      </c>
      <c r="M56" s="168">
        <f t="shared" si="73"/>
        <v>11662</v>
      </c>
      <c r="N56" s="206">
        <v>0</v>
      </c>
      <c r="O56" s="180">
        <f t="shared" si="63"/>
        <v>0</v>
      </c>
      <c r="P56" s="180">
        <f t="shared" si="64"/>
        <v>0</v>
      </c>
      <c r="Q56" s="180">
        <f t="shared" si="65"/>
        <v>0</v>
      </c>
      <c r="R56" s="180">
        <f t="shared" si="66"/>
        <v>-11662</v>
      </c>
      <c r="S56" s="180">
        <f t="shared" si="67"/>
        <v>0</v>
      </c>
      <c r="T56" s="180">
        <f t="shared" si="68"/>
        <v>0</v>
      </c>
      <c r="U56" s="180">
        <f t="shared" si="69"/>
        <v>-11662</v>
      </c>
      <c r="V56" s="180">
        <f t="shared" si="70"/>
        <v>11662</v>
      </c>
      <c r="W56" s="180">
        <f t="shared" si="71"/>
        <v>11662</v>
      </c>
    </row>
    <row r="57" spans="2:23" x14ac:dyDescent="0.35">
      <c r="B57" s="158" t="s">
        <v>283</v>
      </c>
      <c r="C57" s="100" t="s">
        <v>34</v>
      </c>
      <c r="D57" s="102" t="s">
        <v>43</v>
      </c>
      <c r="E57" s="206">
        <v>50000</v>
      </c>
      <c r="F57" s="206">
        <v>50000</v>
      </c>
      <c r="G57" s="206">
        <v>0</v>
      </c>
      <c r="H57" s="206">
        <v>0</v>
      </c>
      <c r="I57" s="206">
        <v>0</v>
      </c>
      <c r="J57" s="206">
        <v>40883.050000000003</v>
      </c>
      <c r="K57" s="168">
        <f t="shared" si="60"/>
        <v>0</v>
      </c>
      <c r="L57" s="168">
        <f t="shared" si="72"/>
        <v>0</v>
      </c>
      <c r="M57" s="168">
        <f t="shared" si="73"/>
        <v>40883.050000000003</v>
      </c>
      <c r="N57" s="206">
        <v>0</v>
      </c>
      <c r="O57" s="180">
        <f t="shared" si="63"/>
        <v>0</v>
      </c>
      <c r="P57" s="180">
        <f t="shared" si="64"/>
        <v>0</v>
      </c>
      <c r="Q57" s="180">
        <f t="shared" si="65"/>
        <v>0</v>
      </c>
      <c r="R57" s="180">
        <f t="shared" si="66"/>
        <v>9116.9499999999971</v>
      </c>
      <c r="S57" s="180">
        <f t="shared" si="67"/>
        <v>0</v>
      </c>
      <c r="T57" s="180">
        <f t="shared" si="68"/>
        <v>0</v>
      </c>
      <c r="U57" s="180">
        <f t="shared" si="69"/>
        <v>9116.9499999999971</v>
      </c>
      <c r="V57" s="180">
        <f t="shared" si="70"/>
        <v>40883.050000000003</v>
      </c>
      <c r="W57" s="180">
        <f t="shared" si="71"/>
        <v>40883.050000000003</v>
      </c>
    </row>
    <row r="58" spans="2:23" x14ac:dyDescent="0.35">
      <c r="B58" s="158" t="s">
        <v>284</v>
      </c>
      <c r="C58" s="100" t="s">
        <v>34</v>
      </c>
      <c r="D58" s="102" t="s">
        <v>55</v>
      </c>
      <c r="E58" s="206">
        <v>25000</v>
      </c>
      <c r="F58" s="206">
        <v>25000</v>
      </c>
      <c r="G58" s="206">
        <v>0</v>
      </c>
      <c r="H58" s="206">
        <v>0</v>
      </c>
      <c r="I58" s="206">
        <v>0</v>
      </c>
      <c r="J58" s="206">
        <v>0</v>
      </c>
      <c r="K58" s="168">
        <f t="shared" si="60"/>
        <v>0</v>
      </c>
      <c r="L58" s="168">
        <f t="shared" si="72"/>
        <v>0</v>
      </c>
      <c r="M58" s="168">
        <f t="shared" si="73"/>
        <v>0</v>
      </c>
      <c r="N58" s="206">
        <v>25000</v>
      </c>
      <c r="O58" s="180">
        <f t="shared" si="63"/>
        <v>0</v>
      </c>
      <c r="P58" s="180">
        <f t="shared" si="64"/>
        <v>0</v>
      </c>
      <c r="Q58" s="180">
        <f t="shared" si="65"/>
        <v>25000</v>
      </c>
      <c r="R58" s="180">
        <f t="shared" si="66"/>
        <v>0</v>
      </c>
      <c r="S58" s="180">
        <f t="shared" si="67"/>
        <v>0</v>
      </c>
      <c r="T58" s="180">
        <f t="shared" si="68"/>
        <v>0</v>
      </c>
      <c r="U58" s="180">
        <f t="shared" si="69"/>
        <v>0</v>
      </c>
      <c r="V58" s="180">
        <f t="shared" si="70"/>
        <v>25000</v>
      </c>
      <c r="W58" s="180">
        <f t="shared" si="71"/>
        <v>25000</v>
      </c>
    </row>
    <row r="59" spans="2:23" x14ac:dyDescent="0.35">
      <c r="B59" s="158" t="s">
        <v>285</v>
      </c>
      <c r="C59" s="100" t="s">
        <v>34</v>
      </c>
      <c r="D59" s="102" t="s">
        <v>56</v>
      </c>
      <c r="E59" s="206">
        <v>280000</v>
      </c>
      <c r="F59" s="206">
        <v>280000</v>
      </c>
      <c r="G59" s="206">
        <v>0</v>
      </c>
      <c r="H59" s="206">
        <v>0</v>
      </c>
      <c r="I59" s="206">
        <v>0</v>
      </c>
      <c r="J59" s="206">
        <v>69752.899999999994</v>
      </c>
      <c r="K59" s="168">
        <f t="shared" si="60"/>
        <v>0</v>
      </c>
      <c r="L59" s="168">
        <f t="shared" si="72"/>
        <v>0</v>
      </c>
      <c r="M59" s="168">
        <f t="shared" si="73"/>
        <v>69752.899999999994</v>
      </c>
      <c r="N59" s="206">
        <v>210000</v>
      </c>
      <c r="O59" s="180">
        <f t="shared" si="63"/>
        <v>0</v>
      </c>
      <c r="P59" s="180">
        <f t="shared" si="64"/>
        <v>0</v>
      </c>
      <c r="Q59" s="180">
        <f t="shared" si="65"/>
        <v>210000</v>
      </c>
      <c r="R59" s="180">
        <f t="shared" si="66"/>
        <v>247.10000000000582</v>
      </c>
      <c r="S59" s="180">
        <f t="shared" si="67"/>
        <v>0</v>
      </c>
      <c r="T59" s="180">
        <f t="shared" si="68"/>
        <v>0</v>
      </c>
      <c r="U59" s="180">
        <f t="shared" si="69"/>
        <v>247.10000000000582</v>
      </c>
      <c r="V59" s="180">
        <f t="shared" si="70"/>
        <v>279752.90000000002</v>
      </c>
      <c r="W59" s="180">
        <f t="shared" si="71"/>
        <v>279752.90000000002</v>
      </c>
    </row>
    <row r="60" spans="2:23" x14ac:dyDescent="0.35">
      <c r="B60" s="158" t="s">
        <v>286</v>
      </c>
      <c r="C60" s="100" t="s">
        <v>34</v>
      </c>
      <c r="D60" s="102" t="s">
        <v>19</v>
      </c>
      <c r="E60" s="206">
        <v>30000</v>
      </c>
      <c r="F60" s="206">
        <v>30000</v>
      </c>
      <c r="G60" s="206">
        <v>0</v>
      </c>
      <c r="H60" s="206">
        <v>0</v>
      </c>
      <c r="I60" s="206">
        <v>0</v>
      </c>
      <c r="J60" s="206">
        <v>19049.95</v>
      </c>
      <c r="K60" s="168">
        <f t="shared" si="60"/>
        <v>0</v>
      </c>
      <c r="L60" s="168">
        <f t="shared" si="72"/>
        <v>0</v>
      </c>
      <c r="M60" s="168">
        <f t="shared" si="73"/>
        <v>19049.95</v>
      </c>
      <c r="N60" s="206">
        <v>0</v>
      </c>
      <c r="O60" s="180">
        <f t="shared" si="63"/>
        <v>0</v>
      </c>
      <c r="P60" s="180">
        <f t="shared" si="64"/>
        <v>0</v>
      </c>
      <c r="Q60" s="180">
        <f t="shared" si="65"/>
        <v>0</v>
      </c>
      <c r="R60" s="180">
        <f t="shared" si="66"/>
        <v>10950.05</v>
      </c>
      <c r="S60" s="180">
        <f t="shared" si="67"/>
        <v>0</v>
      </c>
      <c r="T60" s="180">
        <f t="shared" si="68"/>
        <v>0</v>
      </c>
      <c r="U60" s="180">
        <f t="shared" si="69"/>
        <v>10950.05</v>
      </c>
      <c r="V60" s="180">
        <f t="shared" si="70"/>
        <v>19049.95</v>
      </c>
      <c r="W60" s="180">
        <f t="shared" si="71"/>
        <v>19049.95</v>
      </c>
    </row>
    <row r="61" spans="2:23" x14ac:dyDescent="0.35">
      <c r="B61" s="158" t="s">
        <v>287</v>
      </c>
      <c r="C61" s="100" t="s">
        <v>34</v>
      </c>
      <c r="D61" s="102" t="s">
        <v>134</v>
      </c>
      <c r="E61" s="206">
        <v>241250</v>
      </c>
      <c r="F61" s="206">
        <v>241250</v>
      </c>
      <c r="G61" s="206">
        <v>0</v>
      </c>
      <c r="H61" s="206">
        <v>0</v>
      </c>
      <c r="I61" s="206">
        <v>0</v>
      </c>
      <c r="J61" s="206">
        <v>54834.8</v>
      </c>
      <c r="K61" s="168">
        <f t="shared" si="60"/>
        <v>0</v>
      </c>
      <c r="L61" s="168">
        <f t="shared" si="72"/>
        <v>0</v>
      </c>
      <c r="M61" s="168">
        <f t="shared" si="73"/>
        <v>54834.8</v>
      </c>
      <c r="N61" s="206">
        <v>186415</v>
      </c>
      <c r="O61" s="180">
        <f t="shared" si="63"/>
        <v>0</v>
      </c>
      <c r="P61" s="180">
        <f t="shared" si="64"/>
        <v>0</v>
      </c>
      <c r="Q61" s="180">
        <f t="shared" si="65"/>
        <v>186415</v>
      </c>
      <c r="R61" s="180">
        <f t="shared" si="66"/>
        <v>0.20000000001164153</v>
      </c>
      <c r="S61" s="180">
        <f t="shared" si="67"/>
        <v>0</v>
      </c>
      <c r="T61" s="180">
        <f t="shared" si="68"/>
        <v>0</v>
      </c>
      <c r="U61" s="180">
        <f t="shared" si="69"/>
        <v>0.20000000001164153</v>
      </c>
      <c r="V61" s="180">
        <f t="shared" si="70"/>
        <v>241249.8</v>
      </c>
      <c r="W61" s="180">
        <f t="shared" si="71"/>
        <v>241249.8</v>
      </c>
    </row>
    <row r="62" spans="2:23" x14ac:dyDescent="0.35">
      <c r="B62" s="158" t="s">
        <v>288</v>
      </c>
      <c r="C62" s="100" t="s">
        <v>34</v>
      </c>
      <c r="D62" s="102" t="s">
        <v>107</v>
      </c>
      <c r="E62" s="206">
        <v>35000</v>
      </c>
      <c r="F62" s="206">
        <v>35000</v>
      </c>
      <c r="G62" s="206">
        <v>0</v>
      </c>
      <c r="H62" s="206">
        <v>0</v>
      </c>
      <c r="I62" s="206">
        <v>0</v>
      </c>
      <c r="J62" s="206">
        <v>68866.649999999994</v>
      </c>
      <c r="K62" s="168">
        <f t="shared" si="60"/>
        <v>0</v>
      </c>
      <c r="L62" s="168">
        <f t="shared" si="72"/>
        <v>0</v>
      </c>
      <c r="M62" s="168">
        <f t="shared" si="73"/>
        <v>68866.649999999994</v>
      </c>
      <c r="N62" s="206">
        <v>0</v>
      </c>
      <c r="O62" s="180">
        <f t="shared" si="63"/>
        <v>0</v>
      </c>
      <c r="P62" s="180">
        <f t="shared" si="64"/>
        <v>0</v>
      </c>
      <c r="Q62" s="180">
        <f t="shared" si="65"/>
        <v>0</v>
      </c>
      <c r="R62" s="180">
        <f t="shared" si="66"/>
        <v>-33866.649999999994</v>
      </c>
      <c r="S62" s="180">
        <f t="shared" si="67"/>
        <v>0</v>
      </c>
      <c r="T62" s="180">
        <f t="shared" si="68"/>
        <v>0</v>
      </c>
      <c r="U62" s="180">
        <f t="shared" si="69"/>
        <v>-33866.649999999994</v>
      </c>
      <c r="V62" s="180">
        <f t="shared" si="70"/>
        <v>68866.649999999994</v>
      </c>
      <c r="W62" s="180">
        <f t="shared" si="71"/>
        <v>68866.649999999994</v>
      </c>
    </row>
    <row r="63" spans="2:23" x14ac:dyDescent="0.35">
      <c r="B63" s="158" t="s">
        <v>289</v>
      </c>
      <c r="C63" s="100" t="s">
        <v>34</v>
      </c>
      <c r="D63" s="102" t="s">
        <v>108</v>
      </c>
      <c r="E63" s="206">
        <v>315874.61</v>
      </c>
      <c r="F63" s="206">
        <v>300000</v>
      </c>
      <c r="G63" s="206">
        <v>0</v>
      </c>
      <c r="H63" s="206">
        <v>15874.609999999999</v>
      </c>
      <c r="I63" s="206">
        <v>0</v>
      </c>
      <c r="J63" s="206">
        <v>161312.51</v>
      </c>
      <c r="K63" s="168">
        <f t="shared" si="60"/>
        <v>0</v>
      </c>
      <c r="L63" s="168">
        <f t="shared" si="72"/>
        <v>15874.609999999999</v>
      </c>
      <c r="M63" s="168">
        <f t="shared" si="73"/>
        <v>145437.90000000002</v>
      </c>
      <c r="N63" s="206">
        <v>154661</v>
      </c>
      <c r="O63" s="180">
        <f t="shared" si="63"/>
        <v>0</v>
      </c>
      <c r="P63" s="180">
        <f t="shared" si="64"/>
        <v>0</v>
      </c>
      <c r="Q63" s="180">
        <f t="shared" si="65"/>
        <v>154661</v>
      </c>
      <c r="R63" s="180">
        <f t="shared" si="66"/>
        <v>-98.900000000023283</v>
      </c>
      <c r="S63" s="180">
        <f t="shared" si="67"/>
        <v>0</v>
      </c>
      <c r="T63" s="180">
        <f t="shared" si="68"/>
        <v>0</v>
      </c>
      <c r="U63" s="180">
        <f t="shared" si="69"/>
        <v>-98.900000000023283</v>
      </c>
      <c r="V63" s="180">
        <f t="shared" si="70"/>
        <v>300098.90000000002</v>
      </c>
      <c r="W63" s="180">
        <f t="shared" si="71"/>
        <v>315973.51</v>
      </c>
    </row>
    <row r="64" spans="2:23" x14ac:dyDescent="0.35">
      <c r="B64" s="158" t="s">
        <v>290</v>
      </c>
      <c r="C64" s="100" t="s">
        <v>34</v>
      </c>
      <c r="D64" s="102" t="s">
        <v>123</v>
      </c>
      <c r="E64" s="206">
        <v>1910452.35</v>
      </c>
      <c r="F64" s="206">
        <v>970000</v>
      </c>
      <c r="G64" s="206">
        <v>115756.35</v>
      </c>
      <c r="H64" s="206">
        <v>824696</v>
      </c>
      <c r="I64" s="206">
        <v>0</v>
      </c>
      <c r="J64" s="206">
        <v>1685079.94</v>
      </c>
      <c r="K64" s="168">
        <f t="shared" si="60"/>
        <v>115756.35</v>
      </c>
      <c r="L64" s="168">
        <f t="shared" si="72"/>
        <v>824696</v>
      </c>
      <c r="M64" s="168">
        <f t="shared" si="73"/>
        <v>744627.58999999985</v>
      </c>
      <c r="N64" s="206">
        <v>158793.45000000001</v>
      </c>
      <c r="O64" s="180">
        <f t="shared" si="63"/>
        <v>0</v>
      </c>
      <c r="P64" s="180">
        <f t="shared" si="64"/>
        <v>0</v>
      </c>
      <c r="Q64" s="180">
        <f t="shared" si="65"/>
        <v>158793.45000000001</v>
      </c>
      <c r="R64" s="180">
        <f t="shared" si="66"/>
        <v>66578.960000000137</v>
      </c>
      <c r="S64" s="180">
        <f t="shared" si="67"/>
        <v>0</v>
      </c>
      <c r="T64" s="180">
        <f t="shared" si="68"/>
        <v>0</v>
      </c>
      <c r="U64" s="180">
        <f t="shared" si="69"/>
        <v>66578.960000000137</v>
      </c>
      <c r="V64" s="180">
        <f t="shared" si="70"/>
        <v>903421.0399999998</v>
      </c>
      <c r="W64" s="180">
        <f t="shared" si="71"/>
        <v>1843873.39</v>
      </c>
    </row>
    <row r="65" spans="2:23" x14ac:dyDescent="0.35">
      <c r="C65" s="86"/>
      <c r="D65" s="138"/>
      <c r="E65" s="171"/>
      <c r="F65" s="171"/>
      <c r="G65" s="171"/>
      <c r="H65" s="171"/>
      <c r="I65" s="171"/>
      <c r="J65" s="171"/>
      <c r="K65" s="174"/>
      <c r="L65" s="174"/>
      <c r="M65" s="174"/>
      <c r="N65" s="175"/>
      <c r="O65" s="175"/>
      <c r="P65" s="175"/>
      <c r="Q65" s="175"/>
      <c r="R65" s="175"/>
      <c r="S65" s="175"/>
      <c r="T65" s="175"/>
      <c r="U65" s="175"/>
      <c r="V65" s="175"/>
      <c r="W65" s="175"/>
    </row>
    <row r="66" spans="2:23" s="139" customFormat="1" x14ac:dyDescent="0.35">
      <c r="B66" s="161"/>
      <c r="C66" s="104"/>
      <c r="D66" s="101" t="s">
        <v>38</v>
      </c>
      <c r="E66" s="176">
        <f>SUM(E67:E84)</f>
        <v>7972346.9690000005</v>
      </c>
      <c r="F66" s="176">
        <f t="shared" ref="F66:W66" si="74">SUM(F67:F84)</f>
        <v>7239700.7000000002</v>
      </c>
      <c r="G66" s="176">
        <f t="shared" si="74"/>
        <v>107826.15000000001</v>
      </c>
      <c r="H66" s="176">
        <f t="shared" si="74"/>
        <v>624820.82000000007</v>
      </c>
      <c r="I66" s="176">
        <f t="shared" si="74"/>
        <v>0</v>
      </c>
      <c r="J66" s="176">
        <f t="shared" si="74"/>
        <v>5759626.129999999</v>
      </c>
      <c r="K66" s="176">
        <f t="shared" si="74"/>
        <v>94522.69</v>
      </c>
      <c r="L66" s="176">
        <f t="shared" si="74"/>
        <v>312395.21999999997</v>
      </c>
      <c r="M66" s="176">
        <f t="shared" si="74"/>
        <v>5352708.22</v>
      </c>
      <c r="N66" s="176">
        <f t="shared" si="74"/>
        <v>790073.49</v>
      </c>
      <c r="O66" s="176">
        <f t="shared" si="74"/>
        <v>0</v>
      </c>
      <c r="P66" s="176">
        <f t="shared" si="74"/>
        <v>37664.700000000012</v>
      </c>
      <c r="Q66" s="176">
        <f t="shared" si="74"/>
        <v>752408.79</v>
      </c>
      <c r="R66" s="176">
        <f t="shared" si="74"/>
        <v>1422648.05</v>
      </c>
      <c r="S66" s="176">
        <f t="shared" si="74"/>
        <v>13303.460000000003</v>
      </c>
      <c r="T66" s="176">
        <f t="shared" si="74"/>
        <v>274760.90000000002</v>
      </c>
      <c r="U66" s="176">
        <f t="shared" si="74"/>
        <v>1134583.6900000002</v>
      </c>
      <c r="V66" s="176">
        <f t="shared" si="74"/>
        <v>6105117.0099999998</v>
      </c>
      <c r="W66" s="176">
        <f t="shared" si="74"/>
        <v>6549699.6199999982</v>
      </c>
    </row>
    <row r="67" spans="2:23" x14ac:dyDescent="0.35">
      <c r="B67" s="158" t="s">
        <v>291</v>
      </c>
      <c r="C67" s="100" t="s">
        <v>36</v>
      </c>
      <c r="D67" s="102" t="s">
        <v>70</v>
      </c>
      <c r="E67" s="206">
        <v>250900</v>
      </c>
      <c r="F67" s="223">
        <v>250900</v>
      </c>
      <c r="G67" s="206">
        <v>0</v>
      </c>
      <c r="H67" s="206">
        <v>0</v>
      </c>
      <c r="I67" s="206">
        <v>0</v>
      </c>
      <c r="J67" s="206">
        <v>250948.62</v>
      </c>
      <c r="K67" s="168">
        <f t="shared" ref="K67:K82" si="75">IF(AND(G67&gt;0, J67&gt;0), MIN(J67, G67), 0)</f>
        <v>0</v>
      </c>
      <c r="L67" s="168">
        <f t="shared" ref="L67" si="76">IF(AND(H67&gt;0, J67&gt;0), MIN(H67, J67 - K67), 0)</f>
        <v>0</v>
      </c>
      <c r="M67" s="206">
        <f t="shared" ref="M67:M84" si="77">IF(J67&lt;0, J67, MAX(0, J67 - K67 - L67))</f>
        <v>250948.62</v>
      </c>
      <c r="N67" s="206">
        <v>0</v>
      </c>
      <c r="O67" s="180">
        <f t="shared" ref="O67:O84" si="78">IF(N67&gt;0, MIN(N67, MAX(0, G67 - K67)), 0)</f>
        <v>0</v>
      </c>
      <c r="P67" s="180">
        <f t="shared" ref="P67:P84" si="79">IF((N67-O67)&gt;0, MIN((N67-O67), MAX(0, (H67-O67) - (L67-O67))), 0)</f>
        <v>0</v>
      </c>
      <c r="Q67" s="180">
        <f t="shared" ref="Q67:Q84" si="80">N67-O67-P67</f>
        <v>0</v>
      </c>
      <c r="R67" s="180">
        <f t="shared" ref="R67:R82" si="81">SUM(S67:U67)</f>
        <v>-48.619999999995343</v>
      </c>
      <c r="S67" s="180">
        <f t="shared" ref="S67:S82" si="82">G67-K67-O67</f>
        <v>0</v>
      </c>
      <c r="T67" s="180">
        <f t="shared" ref="T67:T82" si="83">H67-L67-P67</f>
        <v>0</v>
      </c>
      <c r="U67" s="180">
        <f t="shared" ref="U67:U84" si="84">F67+I67-M67-Q67</f>
        <v>-48.619999999995343</v>
      </c>
      <c r="V67" s="180">
        <f t="shared" ref="V67:V84" si="85">M67+Q67</f>
        <v>250948.62</v>
      </c>
      <c r="W67" s="180">
        <f t="shared" ref="W67:W84" si="86">J67+N67</f>
        <v>250948.62</v>
      </c>
    </row>
    <row r="68" spans="2:23" x14ac:dyDescent="0.35">
      <c r="B68" s="158" t="s">
        <v>292</v>
      </c>
      <c r="C68" s="100" t="s">
        <v>36</v>
      </c>
      <c r="D68" s="102" t="s">
        <v>120</v>
      </c>
      <c r="E68" s="206">
        <v>1113610</v>
      </c>
      <c r="F68" s="223">
        <v>1113610</v>
      </c>
      <c r="G68" s="206">
        <v>0</v>
      </c>
      <c r="H68" s="206">
        <v>0</v>
      </c>
      <c r="I68" s="206">
        <v>0</v>
      </c>
      <c r="J68" s="206">
        <v>1113213.19</v>
      </c>
      <c r="K68" s="168">
        <f t="shared" si="75"/>
        <v>0</v>
      </c>
      <c r="L68" s="168">
        <f t="shared" ref="L68:L82" si="87">IF(AND(H68&gt;0, J68&gt;0), MIN(H68, J68 - K68), 0)</f>
        <v>0</v>
      </c>
      <c r="M68" s="206">
        <f t="shared" si="77"/>
        <v>1113213.19</v>
      </c>
      <c r="N68" s="206">
        <v>0</v>
      </c>
      <c r="O68" s="180">
        <f t="shared" si="78"/>
        <v>0</v>
      </c>
      <c r="P68" s="180">
        <f t="shared" si="79"/>
        <v>0</v>
      </c>
      <c r="Q68" s="180">
        <f t="shared" si="80"/>
        <v>0</v>
      </c>
      <c r="R68" s="180">
        <f t="shared" si="81"/>
        <v>396.81000000005588</v>
      </c>
      <c r="S68" s="180">
        <f t="shared" si="82"/>
        <v>0</v>
      </c>
      <c r="T68" s="180">
        <f t="shared" si="83"/>
        <v>0</v>
      </c>
      <c r="U68" s="180">
        <f t="shared" si="84"/>
        <v>396.81000000005588</v>
      </c>
      <c r="V68" s="180">
        <f t="shared" si="85"/>
        <v>1113213.19</v>
      </c>
      <c r="W68" s="180">
        <f t="shared" si="86"/>
        <v>1113213.19</v>
      </c>
    </row>
    <row r="69" spans="2:23" x14ac:dyDescent="0.35">
      <c r="B69" s="158" t="s">
        <v>293</v>
      </c>
      <c r="C69" s="100" t="s">
        <v>36</v>
      </c>
      <c r="D69" s="102" t="s">
        <v>121</v>
      </c>
      <c r="E69" s="206">
        <v>868500</v>
      </c>
      <c r="F69" s="223">
        <v>868500</v>
      </c>
      <c r="G69" s="206">
        <v>0</v>
      </c>
      <c r="H69" s="206">
        <v>0</v>
      </c>
      <c r="I69" s="206">
        <v>0</v>
      </c>
      <c r="J69" s="206">
        <v>771230.38</v>
      </c>
      <c r="K69" s="168">
        <f t="shared" si="75"/>
        <v>0</v>
      </c>
      <c r="L69" s="168">
        <f t="shared" si="87"/>
        <v>0</v>
      </c>
      <c r="M69" s="206">
        <f t="shared" si="77"/>
        <v>771230.38</v>
      </c>
      <c r="N69" s="206">
        <v>0</v>
      </c>
      <c r="O69" s="180">
        <f t="shared" si="78"/>
        <v>0</v>
      </c>
      <c r="P69" s="180">
        <f t="shared" si="79"/>
        <v>0</v>
      </c>
      <c r="Q69" s="180">
        <f t="shared" si="80"/>
        <v>0</v>
      </c>
      <c r="R69" s="180">
        <f t="shared" si="81"/>
        <v>97269.62</v>
      </c>
      <c r="S69" s="180">
        <f t="shared" si="82"/>
        <v>0</v>
      </c>
      <c r="T69" s="180">
        <f t="shared" si="83"/>
        <v>0</v>
      </c>
      <c r="U69" s="180">
        <f t="shared" si="84"/>
        <v>97269.62</v>
      </c>
      <c r="V69" s="180">
        <f t="shared" si="85"/>
        <v>771230.38</v>
      </c>
      <c r="W69" s="180">
        <f t="shared" si="86"/>
        <v>771230.38</v>
      </c>
    </row>
    <row r="70" spans="2:23" x14ac:dyDescent="0.35">
      <c r="B70" s="158" t="s">
        <v>294</v>
      </c>
      <c r="C70" s="100" t="s">
        <v>36</v>
      </c>
      <c r="D70" s="102" t="s">
        <v>122</v>
      </c>
      <c r="E70" s="206">
        <v>222799.19999999998</v>
      </c>
      <c r="F70" s="223">
        <v>222799.19999999998</v>
      </c>
      <c r="G70" s="206">
        <v>0</v>
      </c>
      <c r="H70" s="206">
        <v>0</v>
      </c>
      <c r="I70" s="206">
        <v>0</v>
      </c>
      <c r="J70" s="206">
        <v>222799</v>
      </c>
      <c r="K70" s="168">
        <f t="shared" si="75"/>
        <v>0</v>
      </c>
      <c r="L70" s="168">
        <f t="shared" si="87"/>
        <v>0</v>
      </c>
      <c r="M70" s="206">
        <f t="shared" si="77"/>
        <v>222799</v>
      </c>
      <c r="N70" s="206">
        <v>0</v>
      </c>
      <c r="O70" s="180">
        <f t="shared" si="78"/>
        <v>0</v>
      </c>
      <c r="P70" s="180">
        <f t="shared" si="79"/>
        <v>0</v>
      </c>
      <c r="Q70" s="180">
        <f t="shared" si="80"/>
        <v>0</v>
      </c>
      <c r="R70" s="180">
        <f t="shared" si="81"/>
        <v>0.1999999999825377</v>
      </c>
      <c r="S70" s="180">
        <f t="shared" si="82"/>
        <v>0</v>
      </c>
      <c r="T70" s="180">
        <f t="shared" si="83"/>
        <v>0</v>
      </c>
      <c r="U70" s="180">
        <f t="shared" si="84"/>
        <v>0.1999999999825377</v>
      </c>
      <c r="V70" s="180">
        <f t="shared" si="85"/>
        <v>222799</v>
      </c>
      <c r="W70" s="180">
        <f t="shared" si="86"/>
        <v>222799</v>
      </c>
    </row>
    <row r="71" spans="2:23" x14ac:dyDescent="0.35">
      <c r="B71" s="158" t="s">
        <v>295</v>
      </c>
      <c r="C71" s="100" t="s">
        <v>36</v>
      </c>
      <c r="D71" s="102" t="s">
        <v>71</v>
      </c>
      <c r="E71" s="206">
        <v>94473.5</v>
      </c>
      <c r="F71" s="206">
        <v>94474</v>
      </c>
      <c r="G71" s="206">
        <v>0</v>
      </c>
      <c r="H71" s="206">
        <v>0</v>
      </c>
      <c r="I71" s="206">
        <v>0</v>
      </c>
      <c r="J71" s="206">
        <v>38360.49</v>
      </c>
      <c r="K71" s="168">
        <f t="shared" si="75"/>
        <v>0</v>
      </c>
      <c r="L71" s="168">
        <f t="shared" si="87"/>
        <v>0</v>
      </c>
      <c r="M71" s="206">
        <f t="shared" si="77"/>
        <v>38360.49</v>
      </c>
      <c r="N71" s="206">
        <v>0</v>
      </c>
      <c r="O71" s="180">
        <f t="shared" si="78"/>
        <v>0</v>
      </c>
      <c r="P71" s="180">
        <f t="shared" si="79"/>
        <v>0</v>
      </c>
      <c r="Q71" s="180">
        <f t="shared" si="80"/>
        <v>0</v>
      </c>
      <c r="R71" s="180">
        <f t="shared" si="81"/>
        <v>56113.51</v>
      </c>
      <c r="S71" s="180">
        <f t="shared" si="82"/>
        <v>0</v>
      </c>
      <c r="T71" s="180">
        <f t="shared" si="83"/>
        <v>0</v>
      </c>
      <c r="U71" s="180">
        <f t="shared" si="84"/>
        <v>56113.51</v>
      </c>
      <c r="V71" s="180">
        <f t="shared" si="85"/>
        <v>38360.49</v>
      </c>
      <c r="W71" s="180">
        <f t="shared" si="86"/>
        <v>38360.49</v>
      </c>
    </row>
    <row r="72" spans="2:23" x14ac:dyDescent="0.35">
      <c r="B72" s="158" t="s">
        <v>296</v>
      </c>
      <c r="C72" s="100" t="s">
        <v>36</v>
      </c>
      <c r="D72" s="102" t="s">
        <v>150</v>
      </c>
      <c r="E72" s="206">
        <v>2316000</v>
      </c>
      <c r="F72" s="206">
        <v>2316000</v>
      </c>
      <c r="G72" s="206">
        <v>0</v>
      </c>
      <c r="H72" s="206">
        <v>0</v>
      </c>
      <c r="I72" s="206">
        <v>0</v>
      </c>
      <c r="J72" s="206">
        <v>2248039.17</v>
      </c>
      <c r="K72" s="168">
        <f t="shared" si="75"/>
        <v>0</v>
      </c>
      <c r="L72" s="168">
        <f t="shared" si="87"/>
        <v>0</v>
      </c>
      <c r="M72" s="206">
        <f t="shared" si="77"/>
        <v>2248039.17</v>
      </c>
      <c r="N72" s="206">
        <v>0</v>
      </c>
      <c r="O72" s="180">
        <f t="shared" si="78"/>
        <v>0</v>
      </c>
      <c r="P72" s="180">
        <f t="shared" si="79"/>
        <v>0</v>
      </c>
      <c r="Q72" s="180">
        <f t="shared" si="80"/>
        <v>0</v>
      </c>
      <c r="R72" s="180">
        <f t="shared" si="81"/>
        <v>67960.830000000075</v>
      </c>
      <c r="S72" s="180">
        <f t="shared" si="82"/>
        <v>0</v>
      </c>
      <c r="T72" s="180">
        <f t="shared" si="83"/>
        <v>0</v>
      </c>
      <c r="U72" s="180">
        <f t="shared" si="84"/>
        <v>67960.830000000075</v>
      </c>
      <c r="V72" s="180">
        <f t="shared" si="85"/>
        <v>2248039.17</v>
      </c>
      <c r="W72" s="180">
        <f t="shared" si="86"/>
        <v>2248039.17</v>
      </c>
    </row>
    <row r="73" spans="2:23" x14ac:dyDescent="0.35">
      <c r="B73" s="158" t="s">
        <v>297</v>
      </c>
      <c r="C73" s="100" t="s">
        <v>36</v>
      </c>
      <c r="D73" s="102" t="s">
        <v>57</v>
      </c>
      <c r="E73" s="206">
        <v>47725.8</v>
      </c>
      <c r="F73" s="206">
        <v>14475</v>
      </c>
      <c r="G73" s="206">
        <v>33251</v>
      </c>
      <c r="H73" s="206">
        <v>0</v>
      </c>
      <c r="I73" s="206">
        <v>0</v>
      </c>
      <c r="J73" s="206">
        <v>82690</v>
      </c>
      <c r="K73" s="168">
        <f t="shared" si="75"/>
        <v>33251</v>
      </c>
      <c r="L73" s="168">
        <f t="shared" si="87"/>
        <v>0</v>
      </c>
      <c r="M73" s="206">
        <f t="shared" si="77"/>
        <v>49439</v>
      </c>
      <c r="N73" s="206">
        <v>0</v>
      </c>
      <c r="O73" s="180">
        <f t="shared" si="78"/>
        <v>0</v>
      </c>
      <c r="P73" s="180">
        <f t="shared" si="79"/>
        <v>0</v>
      </c>
      <c r="Q73" s="180">
        <f t="shared" si="80"/>
        <v>0</v>
      </c>
      <c r="R73" s="180">
        <f t="shared" si="81"/>
        <v>-34964</v>
      </c>
      <c r="S73" s="180">
        <f t="shared" si="82"/>
        <v>0</v>
      </c>
      <c r="T73" s="180">
        <f t="shared" si="83"/>
        <v>0</v>
      </c>
      <c r="U73" s="180">
        <f t="shared" si="84"/>
        <v>-34964</v>
      </c>
      <c r="V73" s="180">
        <f t="shared" si="85"/>
        <v>49439</v>
      </c>
      <c r="W73" s="180">
        <f t="shared" si="86"/>
        <v>82690</v>
      </c>
    </row>
    <row r="74" spans="2:23" x14ac:dyDescent="0.35">
      <c r="B74" s="158" t="s">
        <v>298</v>
      </c>
      <c r="C74" s="100" t="s">
        <v>36</v>
      </c>
      <c r="D74" s="134" t="s">
        <v>132</v>
      </c>
      <c r="E74" s="206">
        <v>48250</v>
      </c>
      <c r="F74" s="206">
        <v>48250</v>
      </c>
      <c r="G74" s="206">
        <v>0</v>
      </c>
      <c r="H74" s="206">
        <v>0</v>
      </c>
      <c r="I74" s="206">
        <v>0</v>
      </c>
      <c r="J74" s="206">
        <v>0</v>
      </c>
      <c r="K74" s="168">
        <f t="shared" si="75"/>
        <v>0</v>
      </c>
      <c r="L74" s="168">
        <f t="shared" si="87"/>
        <v>0</v>
      </c>
      <c r="M74" s="206">
        <f t="shared" si="77"/>
        <v>0</v>
      </c>
      <c r="N74" s="206">
        <v>0</v>
      </c>
      <c r="O74" s="180">
        <f t="shared" si="78"/>
        <v>0</v>
      </c>
      <c r="P74" s="180">
        <f t="shared" si="79"/>
        <v>0</v>
      </c>
      <c r="Q74" s="180">
        <f t="shared" si="80"/>
        <v>0</v>
      </c>
      <c r="R74" s="180">
        <f t="shared" si="81"/>
        <v>48250</v>
      </c>
      <c r="S74" s="180">
        <f t="shared" si="82"/>
        <v>0</v>
      </c>
      <c r="T74" s="180">
        <f t="shared" si="83"/>
        <v>0</v>
      </c>
      <c r="U74" s="180">
        <f t="shared" si="84"/>
        <v>48250</v>
      </c>
      <c r="V74" s="180">
        <f t="shared" si="85"/>
        <v>0</v>
      </c>
      <c r="W74" s="180">
        <f t="shared" si="86"/>
        <v>0</v>
      </c>
    </row>
    <row r="75" spans="2:23" x14ac:dyDescent="0.35">
      <c r="B75" s="158" t="s">
        <v>299</v>
      </c>
      <c r="C75" s="100" t="s">
        <v>36</v>
      </c>
      <c r="D75" s="102" t="s">
        <v>115</v>
      </c>
      <c r="E75" s="206">
        <v>31359.75</v>
      </c>
      <c r="F75" s="206">
        <v>28950</v>
      </c>
      <c r="G75" s="206">
        <f>E75-F75</f>
        <v>2409.75</v>
      </c>
      <c r="H75" s="206">
        <v>0</v>
      </c>
      <c r="I75" s="206">
        <v>0</v>
      </c>
      <c r="J75" s="206">
        <v>4732.3</v>
      </c>
      <c r="K75" s="168">
        <f t="shared" si="75"/>
        <v>2409.75</v>
      </c>
      <c r="L75" s="168">
        <f t="shared" si="87"/>
        <v>0</v>
      </c>
      <c r="M75" s="206">
        <f t="shared" si="77"/>
        <v>2322.5500000000002</v>
      </c>
      <c r="N75" s="206">
        <v>0</v>
      </c>
      <c r="O75" s="180">
        <f t="shared" si="78"/>
        <v>0</v>
      </c>
      <c r="P75" s="180">
        <f t="shared" si="79"/>
        <v>0</v>
      </c>
      <c r="Q75" s="180">
        <f t="shared" si="80"/>
        <v>0</v>
      </c>
      <c r="R75" s="180">
        <f t="shared" si="81"/>
        <v>26627.45</v>
      </c>
      <c r="S75" s="180">
        <f t="shared" si="82"/>
        <v>0</v>
      </c>
      <c r="T75" s="180">
        <f t="shared" si="83"/>
        <v>0</v>
      </c>
      <c r="U75" s="180">
        <f t="shared" si="84"/>
        <v>26627.45</v>
      </c>
      <c r="V75" s="180">
        <f t="shared" si="85"/>
        <v>2322.5500000000002</v>
      </c>
      <c r="W75" s="180">
        <f t="shared" si="86"/>
        <v>4732.3</v>
      </c>
    </row>
    <row r="76" spans="2:23" x14ac:dyDescent="0.35">
      <c r="B76" s="158" t="s">
        <v>300</v>
      </c>
      <c r="C76" s="100" t="s">
        <v>36</v>
      </c>
      <c r="D76" s="102" t="s">
        <v>116</v>
      </c>
      <c r="E76" s="206">
        <v>185000</v>
      </c>
      <c r="F76" s="206">
        <v>0</v>
      </c>
      <c r="G76" s="206">
        <v>1041.320000000007</v>
      </c>
      <c r="H76" s="206">
        <v>183958.68</v>
      </c>
      <c r="I76" s="206">
        <v>0</v>
      </c>
      <c r="J76" s="206">
        <v>0</v>
      </c>
      <c r="K76" s="168">
        <f t="shared" si="75"/>
        <v>0</v>
      </c>
      <c r="L76" s="168">
        <f t="shared" si="87"/>
        <v>0</v>
      </c>
      <c r="M76" s="206">
        <f t="shared" si="77"/>
        <v>0</v>
      </c>
      <c r="N76" s="206">
        <v>0</v>
      </c>
      <c r="O76" s="180">
        <f t="shared" si="78"/>
        <v>0</v>
      </c>
      <c r="P76" s="180">
        <f t="shared" si="79"/>
        <v>0</v>
      </c>
      <c r="Q76" s="180">
        <f t="shared" si="80"/>
        <v>0</v>
      </c>
      <c r="R76" s="180">
        <f t="shared" si="81"/>
        <v>185000</v>
      </c>
      <c r="S76" s="180">
        <f t="shared" si="82"/>
        <v>1041.320000000007</v>
      </c>
      <c r="T76" s="180">
        <f t="shared" si="83"/>
        <v>183958.68</v>
      </c>
      <c r="U76" s="180">
        <f t="shared" si="84"/>
        <v>0</v>
      </c>
      <c r="V76" s="180">
        <f t="shared" si="85"/>
        <v>0</v>
      </c>
      <c r="W76" s="180">
        <f t="shared" si="86"/>
        <v>0</v>
      </c>
    </row>
    <row r="77" spans="2:23" x14ac:dyDescent="0.35">
      <c r="B77" s="158" t="s">
        <v>301</v>
      </c>
      <c r="C77" s="100" t="s">
        <v>36</v>
      </c>
      <c r="D77" s="102" t="s">
        <v>117</v>
      </c>
      <c r="E77" s="206">
        <v>123358.49</v>
      </c>
      <c r="F77" s="206">
        <v>48250</v>
      </c>
      <c r="G77" s="206">
        <v>34865.659999999996</v>
      </c>
      <c r="H77" s="206">
        <v>40242.830000000009</v>
      </c>
      <c r="I77" s="206">
        <v>0</v>
      </c>
      <c r="J77" s="206">
        <v>22603.52</v>
      </c>
      <c r="K77" s="168">
        <f t="shared" si="75"/>
        <v>22603.52</v>
      </c>
      <c r="L77" s="168">
        <f t="shared" si="87"/>
        <v>0</v>
      </c>
      <c r="M77" s="206">
        <f t="shared" si="77"/>
        <v>0</v>
      </c>
      <c r="N77" s="206">
        <v>0</v>
      </c>
      <c r="O77" s="180">
        <f t="shared" si="78"/>
        <v>0</v>
      </c>
      <c r="P77" s="180">
        <f t="shared" si="79"/>
        <v>0</v>
      </c>
      <c r="Q77" s="180">
        <f t="shared" si="80"/>
        <v>0</v>
      </c>
      <c r="R77" s="180">
        <f t="shared" si="81"/>
        <v>100754.97</v>
      </c>
      <c r="S77" s="180">
        <f t="shared" si="82"/>
        <v>12262.139999999996</v>
      </c>
      <c r="T77" s="180">
        <f t="shared" si="83"/>
        <v>40242.830000000009</v>
      </c>
      <c r="U77" s="180">
        <f t="shared" si="84"/>
        <v>48250</v>
      </c>
      <c r="V77" s="180">
        <f t="shared" si="85"/>
        <v>0</v>
      </c>
      <c r="W77" s="180">
        <f t="shared" si="86"/>
        <v>22603.52</v>
      </c>
    </row>
    <row r="78" spans="2:23" x14ac:dyDescent="0.35">
      <c r="B78" s="158" t="s">
        <v>302</v>
      </c>
      <c r="C78" s="100" t="s">
        <v>36</v>
      </c>
      <c r="D78" s="102" t="s">
        <v>118</v>
      </c>
      <c r="E78" s="206">
        <v>161258.43</v>
      </c>
      <c r="F78" s="206">
        <v>0</v>
      </c>
      <c r="G78" s="206">
        <v>36258.42</v>
      </c>
      <c r="H78" s="206">
        <v>125000.01</v>
      </c>
      <c r="I78" s="206">
        <v>0</v>
      </c>
      <c r="J78" s="206">
        <v>110699.04</v>
      </c>
      <c r="K78" s="168">
        <f t="shared" si="75"/>
        <v>36258.42</v>
      </c>
      <c r="L78" s="168">
        <f t="shared" si="87"/>
        <v>74440.62</v>
      </c>
      <c r="M78" s="206">
        <f t="shared" si="77"/>
        <v>0</v>
      </c>
      <c r="N78" s="206">
        <v>0</v>
      </c>
      <c r="O78" s="180">
        <f t="shared" si="78"/>
        <v>0</v>
      </c>
      <c r="P78" s="180">
        <f t="shared" si="79"/>
        <v>0</v>
      </c>
      <c r="Q78" s="180">
        <f t="shared" si="80"/>
        <v>0</v>
      </c>
      <c r="R78" s="180">
        <f t="shared" si="81"/>
        <v>50559.39</v>
      </c>
      <c r="S78" s="180">
        <f t="shared" si="82"/>
        <v>0</v>
      </c>
      <c r="T78" s="180">
        <f t="shared" si="83"/>
        <v>50559.39</v>
      </c>
      <c r="U78" s="180">
        <f t="shared" si="84"/>
        <v>0</v>
      </c>
      <c r="V78" s="180">
        <f t="shared" si="85"/>
        <v>0</v>
      </c>
      <c r="W78" s="180">
        <f t="shared" si="86"/>
        <v>110699.04</v>
      </c>
    </row>
    <row r="79" spans="2:23" x14ac:dyDescent="0.35">
      <c r="B79" s="158" t="s">
        <v>303</v>
      </c>
      <c r="C79" s="100" t="s">
        <v>36</v>
      </c>
      <c r="D79" s="102" t="s">
        <v>119</v>
      </c>
      <c r="E79" s="206">
        <v>147645</v>
      </c>
      <c r="F79" s="206">
        <v>147645</v>
      </c>
      <c r="G79" s="206">
        <v>0</v>
      </c>
      <c r="H79" s="206">
        <v>0</v>
      </c>
      <c r="I79" s="206">
        <v>0</v>
      </c>
      <c r="J79" s="206">
        <v>147645</v>
      </c>
      <c r="K79" s="168">
        <f t="shared" si="75"/>
        <v>0</v>
      </c>
      <c r="L79" s="168">
        <f t="shared" si="87"/>
        <v>0</v>
      </c>
      <c r="M79" s="206">
        <f t="shared" si="77"/>
        <v>147645</v>
      </c>
      <c r="N79" s="206">
        <v>0</v>
      </c>
      <c r="O79" s="180">
        <f t="shared" si="78"/>
        <v>0</v>
      </c>
      <c r="P79" s="180">
        <f t="shared" si="79"/>
        <v>0</v>
      </c>
      <c r="Q79" s="180">
        <f t="shared" si="80"/>
        <v>0</v>
      </c>
      <c r="R79" s="180">
        <f t="shared" si="81"/>
        <v>0</v>
      </c>
      <c r="S79" s="180">
        <f t="shared" si="82"/>
        <v>0</v>
      </c>
      <c r="T79" s="180">
        <f t="shared" si="83"/>
        <v>0</v>
      </c>
      <c r="U79" s="180">
        <f t="shared" si="84"/>
        <v>0</v>
      </c>
      <c r="V79" s="180">
        <f t="shared" si="85"/>
        <v>147645</v>
      </c>
      <c r="W79" s="180">
        <f t="shared" si="86"/>
        <v>147645</v>
      </c>
    </row>
    <row r="80" spans="2:23" x14ac:dyDescent="0.35">
      <c r="B80" s="158" t="s">
        <v>304</v>
      </c>
      <c r="C80" s="100" t="s">
        <v>36</v>
      </c>
      <c r="D80" s="102" t="s">
        <v>133</v>
      </c>
      <c r="E80" s="206">
        <v>525195.55900000012</v>
      </c>
      <c r="F80" s="206">
        <v>269717.5</v>
      </c>
      <c r="G80" s="206">
        <v>0</v>
      </c>
      <c r="H80" s="206">
        <v>255478.06</v>
      </c>
      <c r="I80" s="206">
        <v>0</v>
      </c>
      <c r="J80" s="206">
        <v>217813.36</v>
      </c>
      <c r="K80" s="168">
        <f t="shared" si="75"/>
        <v>0</v>
      </c>
      <c r="L80" s="168">
        <f t="shared" si="87"/>
        <v>217813.36</v>
      </c>
      <c r="M80" s="206">
        <f t="shared" si="77"/>
        <v>0</v>
      </c>
      <c r="N80" s="206">
        <v>178173.49</v>
      </c>
      <c r="O80" s="180">
        <f t="shared" si="78"/>
        <v>0</v>
      </c>
      <c r="P80" s="180">
        <f t="shared" si="79"/>
        <v>37664.700000000012</v>
      </c>
      <c r="Q80" s="180">
        <f t="shared" si="80"/>
        <v>140508.78999999998</v>
      </c>
      <c r="R80" s="180">
        <f t="shared" si="81"/>
        <v>129208.71000000002</v>
      </c>
      <c r="S80" s="180">
        <f t="shared" si="82"/>
        <v>0</v>
      </c>
      <c r="T80" s="180">
        <f t="shared" si="83"/>
        <v>0</v>
      </c>
      <c r="U80" s="180">
        <f t="shared" si="84"/>
        <v>129208.71000000002</v>
      </c>
      <c r="V80" s="180">
        <f t="shared" si="85"/>
        <v>140508.78999999998</v>
      </c>
      <c r="W80" s="180">
        <f t="shared" si="86"/>
        <v>395986.85</v>
      </c>
    </row>
    <row r="81" spans="2:23" s="139" customFormat="1" x14ac:dyDescent="0.35">
      <c r="B81" s="161" t="s">
        <v>306</v>
      </c>
      <c r="C81" s="135" t="s">
        <v>36</v>
      </c>
      <c r="D81" s="134" t="s">
        <v>151</v>
      </c>
      <c r="E81" s="206">
        <v>386000</v>
      </c>
      <c r="F81" s="206">
        <v>386000</v>
      </c>
      <c r="G81" s="206">
        <v>0</v>
      </c>
      <c r="H81" s="206">
        <v>0</v>
      </c>
      <c r="I81" s="206">
        <v>0</v>
      </c>
      <c r="J81" s="206">
        <v>385582.75</v>
      </c>
      <c r="K81" s="168">
        <f t="shared" si="75"/>
        <v>0</v>
      </c>
      <c r="L81" s="168">
        <f t="shared" si="87"/>
        <v>0</v>
      </c>
      <c r="M81" s="206">
        <f t="shared" si="77"/>
        <v>385582.75</v>
      </c>
      <c r="N81" s="206">
        <v>0</v>
      </c>
      <c r="O81" s="180">
        <f t="shared" si="78"/>
        <v>0</v>
      </c>
      <c r="P81" s="180">
        <f t="shared" si="79"/>
        <v>0</v>
      </c>
      <c r="Q81" s="180">
        <f t="shared" si="80"/>
        <v>0</v>
      </c>
      <c r="R81" s="180">
        <f t="shared" si="81"/>
        <v>417.25</v>
      </c>
      <c r="S81" s="180">
        <f t="shared" si="82"/>
        <v>0</v>
      </c>
      <c r="T81" s="180">
        <f t="shared" si="83"/>
        <v>0</v>
      </c>
      <c r="U81" s="180">
        <f t="shared" si="84"/>
        <v>417.25</v>
      </c>
      <c r="V81" s="180">
        <f t="shared" si="85"/>
        <v>385582.75</v>
      </c>
      <c r="W81" s="180">
        <f t="shared" si="86"/>
        <v>385582.75</v>
      </c>
    </row>
    <row r="82" spans="2:23" s="139" customFormat="1" x14ac:dyDescent="0.35">
      <c r="B82" s="161" t="s">
        <v>307</v>
      </c>
      <c r="C82" s="135" t="s">
        <v>36</v>
      </c>
      <c r="D82" s="134" t="s">
        <v>153</v>
      </c>
      <c r="E82" s="206">
        <v>340521.24</v>
      </c>
      <c r="F82" s="206">
        <v>320380</v>
      </c>
      <c r="G82" s="206">
        <v>0</v>
      </c>
      <c r="H82" s="206">
        <v>20141.239999999998</v>
      </c>
      <c r="I82" s="206">
        <v>0</v>
      </c>
      <c r="J82" s="206">
        <v>143269.31</v>
      </c>
      <c r="K82" s="168">
        <f t="shared" si="75"/>
        <v>0</v>
      </c>
      <c r="L82" s="168">
        <f t="shared" si="87"/>
        <v>20141.239999999998</v>
      </c>
      <c r="M82" s="206">
        <f t="shared" si="77"/>
        <v>123128.07</v>
      </c>
      <c r="N82" s="206">
        <v>11900</v>
      </c>
      <c r="O82" s="180">
        <f t="shared" si="78"/>
        <v>0</v>
      </c>
      <c r="P82" s="180">
        <f t="shared" si="79"/>
        <v>0</v>
      </c>
      <c r="Q82" s="180">
        <f t="shared" si="80"/>
        <v>11900</v>
      </c>
      <c r="R82" s="180">
        <f t="shared" si="81"/>
        <v>185351.93</v>
      </c>
      <c r="S82" s="180">
        <f t="shared" si="82"/>
        <v>0</v>
      </c>
      <c r="T82" s="180">
        <f t="shared" si="83"/>
        <v>0</v>
      </c>
      <c r="U82" s="180">
        <f t="shared" si="84"/>
        <v>185351.93</v>
      </c>
      <c r="V82" s="180">
        <f t="shared" si="85"/>
        <v>135028.07</v>
      </c>
      <c r="W82" s="180">
        <f t="shared" si="86"/>
        <v>155169.31</v>
      </c>
    </row>
    <row r="83" spans="2:23" s="139" customFormat="1" x14ac:dyDescent="0.35">
      <c r="B83" s="161" t="s">
        <v>392</v>
      </c>
      <c r="C83" s="135" t="s">
        <v>36</v>
      </c>
      <c r="D83" s="134" t="s">
        <v>152</v>
      </c>
      <c r="E83" s="206">
        <v>144750</v>
      </c>
      <c r="F83" s="206">
        <v>144750</v>
      </c>
      <c r="G83" s="206">
        <v>0</v>
      </c>
      <c r="H83" s="206">
        <v>0</v>
      </c>
      <c r="I83" s="206">
        <v>0</v>
      </c>
      <c r="J83" s="206">
        <v>0</v>
      </c>
      <c r="K83" s="168">
        <f>IF(AND(G83&gt;0, J83&gt;0), MIN(J83, G83), 0)</f>
        <v>0</v>
      </c>
      <c r="L83" s="168">
        <f>IF(AND(H83&gt;0, J83&gt;0), MIN(H83, J83 - K83), 0)</f>
        <v>0</v>
      </c>
      <c r="M83" s="206">
        <f t="shared" si="77"/>
        <v>0</v>
      </c>
      <c r="N83" s="206">
        <v>0</v>
      </c>
      <c r="O83" s="180">
        <f t="shared" si="78"/>
        <v>0</v>
      </c>
      <c r="P83" s="180">
        <f t="shared" si="79"/>
        <v>0</v>
      </c>
      <c r="Q83" s="180">
        <f t="shared" si="80"/>
        <v>0</v>
      </c>
      <c r="R83" s="180">
        <f>SUM(S83:U83)</f>
        <v>144750</v>
      </c>
      <c r="S83" s="180">
        <f>G83-K83-O83</f>
        <v>0</v>
      </c>
      <c r="T83" s="180">
        <f>H83-L83-P83</f>
        <v>0</v>
      </c>
      <c r="U83" s="180">
        <f t="shared" si="84"/>
        <v>144750</v>
      </c>
      <c r="V83" s="180">
        <f t="shared" si="85"/>
        <v>0</v>
      </c>
      <c r="W83" s="180">
        <f t="shared" si="86"/>
        <v>0</v>
      </c>
    </row>
    <row r="84" spans="2:23" s="139" customFormat="1" ht="17.5" x14ac:dyDescent="0.35">
      <c r="B84" s="161" t="s">
        <v>393</v>
      </c>
      <c r="C84" s="135" t="s">
        <v>36</v>
      </c>
      <c r="D84" s="207" t="s">
        <v>394</v>
      </c>
      <c r="E84" s="223">
        <v>965000</v>
      </c>
      <c r="F84" s="206">
        <v>965000</v>
      </c>
      <c r="G84" s="206">
        <v>0</v>
      </c>
      <c r="H84" s="206">
        <v>0</v>
      </c>
      <c r="I84" s="206">
        <v>0</v>
      </c>
      <c r="J84" s="206">
        <v>0</v>
      </c>
      <c r="K84" s="168">
        <f>IF(AND(G84&gt;0, J84&gt;0), MIN(J84, G84), 0)</f>
        <v>0</v>
      </c>
      <c r="L84" s="168">
        <f>IF(AND(H84&gt;0, J84&gt;0), MIN(H84, J84 - K84), 0)</f>
        <v>0</v>
      </c>
      <c r="M84" s="206">
        <f t="shared" si="77"/>
        <v>0</v>
      </c>
      <c r="N84" s="206">
        <v>600000</v>
      </c>
      <c r="O84" s="180">
        <f t="shared" si="78"/>
        <v>0</v>
      </c>
      <c r="P84" s="180">
        <f t="shared" si="79"/>
        <v>0</v>
      </c>
      <c r="Q84" s="180">
        <f t="shared" si="80"/>
        <v>600000</v>
      </c>
      <c r="R84" s="180">
        <f>SUM(S84:U84)</f>
        <v>365000</v>
      </c>
      <c r="S84" s="180">
        <f>G84-K84-O84</f>
        <v>0</v>
      </c>
      <c r="T84" s="180">
        <f>H84-L84-P84</f>
        <v>0</v>
      </c>
      <c r="U84" s="180">
        <f t="shared" si="84"/>
        <v>365000</v>
      </c>
      <c r="V84" s="180">
        <f t="shared" si="85"/>
        <v>600000</v>
      </c>
      <c r="W84" s="180">
        <f t="shared" si="86"/>
        <v>600000</v>
      </c>
    </row>
    <row r="85" spans="2:23" x14ac:dyDescent="0.35">
      <c r="C85" s="86"/>
      <c r="D85" s="138"/>
      <c r="E85" s="171"/>
      <c r="F85" s="171"/>
      <c r="G85" s="171"/>
      <c r="H85" s="171"/>
      <c r="I85" s="171"/>
      <c r="J85" s="171"/>
      <c r="K85" s="174"/>
      <c r="L85" s="174"/>
      <c r="M85" s="174"/>
      <c r="N85" s="175"/>
      <c r="O85" s="175"/>
      <c r="P85" s="175"/>
      <c r="Q85" s="175"/>
      <c r="R85" s="175"/>
      <c r="S85" s="175"/>
      <c r="T85" s="175"/>
      <c r="U85" s="175"/>
      <c r="V85" s="175"/>
      <c r="W85" s="175"/>
    </row>
    <row r="86" spans="2:23" s="139" customFormat="1" x14ac:dyDescent="0.35">
      <c r="B86" s="161"/>
      <c r="C86" s="104"/>
      <c r="D86" s="101" t="s">
        <v>39</v>
      </c>
      <c r="E86" s="176">
        <f t="shared" ref="E86:W86" si="88">SUM(E87:E102)</f>
        <v>81934080.879999995</v>
      </c>
      <c r="F86" s="176">
        <f t="shared" si="88"/>
        <v>49462281.099649996</v>
      </c>
      <c r="G86" s="176">
        <f t="shared" si="88"/>
        <v>3291394.58</v>
      </c>
      <c r="H86" s="176">
        <f t="shared" si="88"/>
        <v>29180405.019999996</v>
      </c>
      <c r="I86" s="176">
        <f t="shared" si="88"/>
        <v>0</v>
      </c>
      <c r="J86" s="176">
        <f t="shared" si="88"/>
        <v>63206783.019999996</v>
      </c>
      <c r="K86" s="176">
        <f t="shared" si="88"/>
        <v>2788936.13</v>
      </c>
      <c r="L86" s="176">
        <f t="shared" si="88"/>
        <v>27399094.504999999</v>
      </c>
      <c r="M86" s="176">
        <f t="shared" si="88"/>
        <v>33018752.384999998</v>
      </c>
      <c r="N86" s="176">
        <f t="shared" si="88"/>
        <v>16503499.401402654</v>
      </c>
      <c r="O86" s="176">
        <f t="shared" si="88"/>
        <v>50000</v>
      </c>
      <c r="P86" s="176">
        <f t="shared" si="88"/>
        <v>1274528.7599999998</v>
      </c>
      <c r="Q86" s="176">
        <f t="shared" si="88"/>
        <v>15178970.641402654</v>
      </c>
      <c r="R86" s="176">
        <f t="shared" si="88"/>
        <v>2223798.2782473462</v>
      </c>
      <c r="S86" s="176">
        <f t="shared" si="88"/>
        <v>452458.44999999995</v>
      </c>
      <c r="T86" s="176">
        <f t="shared" si="88"/>
        <v>506781.75500000012</v>
      </c>
      <c r="U86" s="176">
        <f t="shared" si="88"/>
        <v>1264558.0732473438</v>
      </c>
      <c r="V86" s="176">
        <f t="shared" si="88"/>
        <v>48197723.02640266</v>
      </c>
      <c r="W86" s="176">
        <f t="shared" si="88"/>
        <v>79710282.421402648</v>
      </c>
    </row>
    <row r="87" spans="2:23" x14ac:dyDescent="0.35">
      <c r="B87" s="158" t="s">
        <v>308</v>
      </c>
      <c r="C87" s="100" t="s">
        <v>37</v>
      </c>
      <c r="D87" s="102" t="s">
        <v>47</v>
      </c>
      <c r="E87" s="206">
        <v>2668114.145</v>
      </c>
      <c r="F87" s="206">
        <v>257225</v>
      </c>
      <c r="G87" s="206">
        <v>378036.29999999981</v>
      </c>
      <c r="H87" s="206">
        <v>2032852.8450000002</v>
      </c>
      <c r="I87" s="206">
        <v>0</v>
      </c>
      <c r="J87" s="206">
        <v>1571742.42</v>
      </c>
      <c r="K87" s="166">
        <f t="shared" ref="K87:K102" si="89">IF(AND(G87&gt;0, J87&gt;0), MIN(J87, G87), 0)</f>
        <v>378036.29999999981</v>
      </c>
      <c r="L87" s="166">
        <f t="shared" ref="L87:L102" si="90">IF(AND(H87&gt;0, J87&gt;0), MIN(H87, J87 - K87), 0)</f>
        <v>1193706.1200000001</v>
      </c>
      <c r="M87" s="166">
        <f t="shared" ref="M87:M102" si="91">IF(J87&lt;0, J87, MAX(0, J87 - K87 - L87))</f>
        <v>0</v>
      </c>
      <c r="N87" s="166">
        <v>332364.96999999997</v>
      </c>
      <c r="O87" s="180">
        <f t="shared" ref="O87:O102" si="92">IF(N87&gt;0, MIN(N87, MAX(0, G87 - K87)), 0)</f>
        <v>0</v>
      </c>
      <c r="P87" s="180">
        <f t="shared" ref="P87:P102" si="93">IF((N87-O87)&gt;0, MIN((N87-O87), MAX(0, (H87-O87) - (L87-O87))), 0)</f>
        <v>332364.96999999997</v>
      </c>
      <c r="Q87" s="180">
        <f t="shared" ref="Q87:Q102" si="94">N87-O87-P87</f>
        <v>0</v>
      </c>
      <c r="R87" s="180">
        <f t="shared" ref="R87:R102" si="95">SUM(S87:U87)</f>
        <v>764006.75500000012</v>
      </c>
      <c r="S87" s="180">
        <f t="shared" ref="S87:S102" si="96">G87-K87-O87</f>
        <v>0</v>
      </c>
      <c r="T87" s="180">
        <f t="shared" ref="T87:T102" si="97">H87-L87-P87</f>
        <v>506781.75500000012</v>
      </c>
      <c r="U87" s="180">
        <f t="shared" ref="U87:U102" si="98">F87+I87-M87-Q87</f>
        <v>257225</v>
      </c>
      <c r="V87" s="180">
        <f t="shared" ref="V87:V102" si="99">M87+Q87</f>
        <v>0</v>
      </c>
      <c r="W87" s="180">
        <f t="shared" ref="W87:W102" si="100">J87+N87</f>
        <v>1904107.39</v>
      </c>
    </row>
    <row r="88" spans="2:23" x14ac:dyDescent="0.35">
      <c r="B88" s="158" t="s">
        <v>309</v>
      </c>
      <c r="C88" s="100" t="s">
        <v>37</v>
      </c>
      <c r="D88" s="102" t="s">
        <v>20</v>
      </c>
      <c r="E88" s="206">
        <v>0</v>
      </c>
      <c r="F88" s="206">
        <v>0</v>
      </c>
      <c r="G88" s="206">
        <v>0</v>
      </c>
      <c r="H88" s="206">
        <v>0</v>
      </c>
      <c r="I88" s="206">
        <v>0</v>
      </c>
      <c r="J88" s="206">
        <v>13595.75</v>
      </c>
      <c r="K88" s="166">
        <f t="shared" si="89"/>
        <v>0</v>
      </c>
      <c r="L88" s="166">
        <f t="shared" si="90"/>
        <v>0</v>
      </c>
      <c r="M88" s="166">
        <f t="shared" si="91"/>
        <v>13595.75</v>
      </c>
      <c r="N88" s="166">
        <v>0</v>
      </c>
      <c r="O88" s="180">
        <f t="shared" si="92"/>
        <v>0</v>
      </c>
      <c r="P88" s="180">
        <f t="shared" si="93"/>
        <v>0</v>
      </c>
      <c r="Q88" s="180">
        <f t="shared" si="94"/>
        <v>0</v>
      </c>
      <c r="R88" s="180">
        <f t="shared" si="95"/>
        <v>-13595.75</v>
      </c>
      <c r="S88" s="180">
        <f t="shared" si="96"/>
        <v>0</v>
      </c>
      <c r="T88" s="180">
        <f t="shared" si="97"/>
        <v>0</v>
      </c>
      <c r="U88" s="180">
        <f t="shared" si="98"/>
        <v>-13595.75</v>
      </c>
      <c r="V88" s="180">
        <f t="shared" si="99"/>
        <v>13595.75</v>
      </c>
      <c r="W88" s="180">
        <f t="shared" si="100"/>
        <v>13595.75</v>
      </c>
    </row>
    <row r="89" spans="2:23" x14ac:dyDescent="0.35">
      <c r="B89" s="158" t="s">
        <v>310</v>
      </c>
      <c r="C89" s="100" t="s">
        <v>37</v>
      </c>
      <c r="D89" s="102" t="s">
        <v>192</v>
      </c>
      <c r="E89" s="206">
        <v>6550936.2199999997</v>
      </c>
      <c r="F89" s="206">
        <v>3435400</v>
      </c>
      <c r="G89" s="206">
        <v>441965.77</v>
      </c>
      <c r="H89" s="206">
        <v>2673570.4499999997</v>
      </c>
      <c r="I89" s="206">
        <v>0</v>
      </c>
      <c r="J89" s="206">
        <v>3235999.6</v>
      </c>
      <c r="K89" s="166">
        <f t="shared" si="89"/>
        <v>441965.77</v>
      </c>
      <c r="L89" s="166">
        <f t="shared" si="90"/>
        <v>2673570.4499999997</v>
      </c>
      <c r="M89" s="166">
        <f t="shared" si="91"/>
        <v>120463.38000000035</v>
      </c>
      <c r="N89" s="166">
        <v>1578164.4309333337</v>
      </c>
      <c r="O89" s="180">
        <f t="shared" si="92"/>
        <v>0</v>
      </c>
      <c r="P89" s="180">
        <f t="shared" si="93"/>
        <v>0</v>
      </c>
      <c r="Q89" s="180">
        <f t="shared" si="94"/>
        <v>1578164.4309333337</v>
      </c>
      <c r="R89" s="180">
        <f t="shared" si="95"/>
        <v>1736772.1890666659</v>
      </c>
      <c r="S89" s="180">
        <f t="shared" si="96"/>
        <v>0</v>
      </c>
      <c r="T89" s="180">
        <f t="shared" si="97"/>
        <v>0</v>
      </c>
      <c r="U89" s="180">
        <f t="shared" si="98"/>
        <v>1736772.1890666659</v>
      </c>
      <c r="V89" s="180">
        <f t="shared" si="99"/>
        <v>1698627.8109333341</v>
      </c>
      <c r="W89" s="180">
        <f t="shared" si="100"/>
        <v>4814164.0309333336</v>
      </c>
    </row>
    <row r="90" spans="2:23" x14ac:dyDescent="0.35">
      <c r="B90" s="158" t="s">
        <v>311</v>
      </c>
      <c r="C90" s="100" t="s">
        <v>37</v>
      </c>
      <c r="D90" s="102" t="s">
        <v>21</v>
      </c>
      <c r="E90" s="206">
        <v>705133.2</v>
      </c>
      <c r="F90" s="206">
        <v>0</v>
      </c>
      <c r="G90" s="206">
        <v>488968.06000000006</v>
      </c>
      <c r="H90" s="206">
        <v>216165.1399999999</v>
      </c>
      <c r="I90" s="206">
        <v>0</v>
      </c>
      <c r="J90" s="206">
        <v>1013027.71</v>
      </c>
      <c r="K90" s="166">
        <f t="shared" si="89"/>
        <v>488968.06000000006</v>
      </c>
      <c r="L90" s="166">
        <f t="shared" si="90"/>
        <v>216165.1399999999</v>
      </c>
      <c r="M90" s="166">
        <f t="shared" si="91"/>
        <v>307894.51</v>
      </c>
      <c r="N90" s="166">
        <v>52000</v>
      </c>
      <c r="O90" s="180">
        <f t="shared" si="92"/>
        <v>0</v>
      </c>
      <c r="P90" s="180">
        <f t="shared" si="93"/>
        <v>0</v>
      </c>
      <c r="Q90" s="180">
        <f t="shared" si="94"/>
        <v>52000</v>
      </c>
      <c r="R90" s="180">
        <f t="shared" si="95"/>
        <v>-359894.51</v>
      </c>
      <c r="S90" s="180">
        <f t="shared" si="96"/>
        <v>0</v>
      </c>
      <c r="T90" s="180">
        <f t="shared" si="97"/>
        <v>0</v>
      </c>
      <c r="U90" s="180">
        <f t="shared" si="98"/>
        <v>-359894.51</v>
      </c>
      <c r="V90" s="180">
        <f t="shared" si="99"/>
        <v>359894.51</v>
      </c>
      <c r="W90" s="180">
        <f t="shared" si="100"/>
        <v>1065027.71</v>
      </c>
    </row>
    <row r="91" spans="2:23" x14ac:dyDescent="0.35">
      <c r="B91" s="158" t="s">
        <v>318</v>
      </c>
      <c r="C91" s="108" t="s">
        <v>37</v>
      </c>
      <c r="D91" s="102" t="s">
        <v>62</v>
      </c>
      <c r="E91" s="206">
        <v>3088000</v>
      </c>
      <c r="F91" s="206">
        <v>3088000</v>
      </c>
      <c r="G91" s="206">
        <v>0</v>
      </c>
      <c r="H91" s="206">
        <v>0</v>
      </c>
      <c r="I91" s="206">
        <v>0</v>
      </c>
      <c r="J91" s="206">
        <v>2595948.08</v>
      </c>
      <c r="K91" s="166">
        <f t="shared" si="89"/>
        <v>0</v>
      </c>
      <c r="L91" s="166">
        <f t="shared" si="90"/>
        <v>0</v>
      </c>
      <c r="M91" s="166">
        <f t="shared" si="91"/>
        <v>2595948.08</v>
      </c>
      <c r="N91" s="166">
        <v>555147</v>
      </c>
      <c r="O91" s="180">
        <f t="shared" si="92"/>
        <v>0</v>
      </c>
      <c r="P91" s="180">
        <f t="shared" si="93"/>
        <v>0</v>
      </c>
      <c r="Q91" s="180">
        <f t="shared" si="94"/>
        <v>555147</v>
      </c>
      <c r="R91" s="180">
        <f>SUM(S91:U91)</f>
        <v>-63095.080000000075</v>
      </c>
      <c r="S91" s="180">
        <f t="shared" si="96"/>
        <v>0</v>
      </c>
      <c r="T91" s="180">
        <f>H91-L91-P91</f>
        <v>0</v>
      </c>
      <c r="U91" s="180">
        <f t="shared" si="98"/>
        <v>-63095.080000000075</v>
      </c>
      <c r="V91" s="180">
        <f>M91+Q91</f>
        <v>3151095.08</v>
      </c>
      <c r="W91" s="180">
        <f t="shared" si="100"/>
        <v>3151095.08</v>
      </c>
    </row>
    <row r="92" spans="2:23" x14ac:dyDescent="0.35">
      <c r="B92" s="158" t="s">
        <v>312</v>
      </c>
      <c r="C92" s="108" t="s">
        <v>37</v>
      </c>
      <c r="D92" s="102" t="s">
        <v>100</v>
      </c>
      <c r="E92" s="206">
        <v>1982424.45</v>
      </c>
      <c r="F92" s="206">
        <v>0</v>
      </c>
      <c r="G92" s="206">
        <v>1982424.45</v>
      </c>
      <c r="H92" s="206">
        <v>0</v>
      </c>
      <c r="I92" s="206">
        <v>0</v>
      </c>
      <c r="J92" s="206">
        <v>1479966</v>
      </c>
      <c r="K92" s="166">
        <f t="shared" si="89"/>
        <v>1479966</v>
      </c>
      <c r="L92" s="166">
        <f t="shared" si="90"/>
        <v>0</v>
      </c>
      <c r="M92" s="166">
        <f t="shared" si="91"/>
        <v>0</v>
      </c>
      <c r="N92" s="166">
        <v>50000</v>
      </c>
      <c r="O92" s="180">
        <f t="shared" si="92"/>
        <v>50000</v>
      </c>
      <c r="P92" s="180">
        <f t="shared" si="93"/>
        <v>0</v>
      </c>
      <c r="Q92" s="180">
        <f t="shared" si="94"/>
        <v>0</v>
      </c>
      <c r="R92" s="180">
        <f>SUM(S92:U92)</f>
        <v>452458.44999999995</v>
      </c>
      <c r="S92" s="180">
        <f t="shared" si="96"/>
        <v>452458.44999999995</v>
      </c>
      <c r="T92" s="180">
        <f>H92-L92-P92</f>
        <v>0</v>
      </c>
      <c r="U92" s="180">
        <f t="shared" si="98"/>
        <v>0</v>
      </c>
      <c r="V92" s="180">
        <f>M92+Q92</f>
        <v>0</v>
      </c>
      <c r="W92" s="180">
        <f t="shared" si="100"/>
        <v>1529966</v>
      </c>
    </row>
    <row r="93" spans="2:23" x14ac:dyDescent="0.35">
      <c r="B93" s="158" t="s">
        <v>313</v>
      </c>
      <c r="C93" s="100" t="s">
        <v>37</v>
      </c>
      <c r="D93" s="102" t="s">
        <v>126</v>
      </c>
      <c r="E93" s="206">
        <v>10693376.029999999</v>
      </c>
      <c r="F93" s="206">
        <v>8110604.0149999997</v>
      </c>
      <c r="G93" s="206">
        <v>0</v>
      </c>
      <c r="H93" s="206">
        <v>2582772.0299999998</v>
      </c>
      <c r="I93" s="206">
        <v>0</v>
      </c>
      <c r="J93" s="206">
        <v>8238152.7999999998</v>
      </c>
      <c r="K93" s="166">
        <f t="shared" si="89"/>
        <v>0</v>
      </c>
      <c r="L93" s="166">
        <f t="shared" si="90"/>
        <v>2582772.0299999998</v>
      </c>
      <c r="M93" s="166">
        <f t="shared" si="91"/>
        <v>5655380.7699999996</v>
      </c>
      <c r="N93" s="166">
        <v>2526000</v>
      </c>
      <c r="O93" s="180">
        <f t="shared" si="92"/>
        <v>0</v>
      </c>
      <c r="P93" s="180">
        <f t="shared" si="93"/>
        <v>0</v>
      </c>
      <c r="Q93" s="180">
        <f t="shared" si="94"/>
        <v>2526000</v>
      </c>
      <c r="R93" s="180">
        <f t="shared" si="95"/>
        <v>-70776.754999999888</v>
      </c>
      <c r="S93" s="180">
        <f t="shared" si="96"/>
        <v>0</v>
      </c>
      <c r="T93" s="180">
        <f t="shared" si="97"/>
        <v>0</v>
      </c>
      <c r="U93" s="180">
        <f t="shared" si="98"/>
        <v>-70776.754999999888</v>
      </c>
      <c r="V93" s="180">
        <f t="shared" si="99"/>
        <v>8181380.7699999996</v>
      </c>
      <c r="W93" s="180">
        <f t="shared" si="100"/>
        <v>10764152.800000001</v>
      </c>
    </row>
    <row r="94" spans="2:23" x14ac:dyDescent="0.35">
      <c r="B94" s="158" t="s">
        <v>314</v>
      </c>
      <c r="C94" s="100" t="s">
        <v>37</v>
      </c>
      <c r="D94" s="102" t="s">
        <v>130</v>
      </c>
      <c r="E94" s="206">
        <v>1098788</v>
      </c>
      <c r="F94" s="206">
        <v>965000</v>
      </c>
      <c r="G94" s="206">
        <v>0</v>
      </c>
      <c r="H94" s="206">
        <v>133788</v>
      </c>
      <c r="I94" s="206">
        <v>0</v>
      </c>
      <c r="J94" s="206">
        <v>946162.25</v>
      </c>
      <c r="K94" s="166">
        <f t="shared" si="89"/>
        <v>0</v>
      </c>
      <c r="L94" s="166">
        <f t="shared" si="90"/>
        <v>133788</v>
      </c>
      <c r="M94" s="166">
        <f t="shared" si="91"/>
        <v>812374.25</v>
      </c>
      <c r="N94" s="166">
        <v>200969.7</v>
      </c>
      <c r="O94" s="180">
        <f t="shared" si="92"/>
        <v>0</v>
      </c>
      <c r="P94" s="180">
        <f t="shared" si="93"/>
        <v>0</v>
      </c>
      <c r="Q94" s="180">
        <f t="shared" si="94"/>
        <v>200969.7</v>
      </c>
      <c r="R94" s="180">
        <f t="shared" si="95"/>
        <v>-48343.950000000012</v>
      </c>
      <c r="S94" s="180">
        <f t="shared" si="96"/>
        <v>0</v>
      </c>
      <c r="T94" s="180">
        <f t="shared" si="97"/>
        <v>0</v>
      </c>
      <c r="U94" s="180">
        <f t="shared" si="98"/>
        <v>-48343.950000000012</v>
      </c>
      <c r="V94" s="180">
        <f t="shared" si="99"/>
        <v>1013343.95</v>
      </c>
      <c r="W94" s="180">
        <f t="shared" si="100"/>
        <v>1147131.95</v>
      </c>
    </row>
    <row r="95" spans="2:23" x14ac:dyDescent="0.35">
      <c r="B95" s="158" t="s">
        <v>315</v>
      </c>
      <c r="C95" s="100" t="s">
        <v>37</v>
      </c>
      <c r="D95" s="102" t="s">
        <v>68</v>
      </c>
      <c r="E95" s="206">
        <v>5509047</v>
      </c>
      <c r="F95" s="206">
        <v>4784107.16</v>
      </c>
      <c r="G95" s="206">
        <v>0</v>
      </c>
      <c r="H95" s="206">
        <v>724939.84000000008</v>
      </c>
      <c r="I95" s="206">
        <v>0</v>
      </c>
      <c r="J95" s="206">
        <v>4558221.51</v>
      </c>
      <c r="K95" s="166">
        <f t="shared" si="89"/>
        <v>0</v>
      </c>
      <c r="L95" s="166">
        <f t="shared" si="90"/>
        <v>724939.84000000008</v>
      </c>
      <c r="M95" s="166">
        <f t="shared" si="91"/>
        <v>3833281.67</v>
      </c>
      <c r="N95" s="166">
        <v>698952.69861217751</v>
      </c>
      <c r="O95" s="180">
        <f t="shared" si="92"/>
        <v>0</v>
      </c>
      <c r="P95" s="180">
        <f t="shared" si="93"/>
        <v>0</v>
      </c>
      <c r="Q95" s="180">
        <f t="shared" si="94"/>
        <v>698952.69861217751</v>
      </c>
      <c r="R95" s="180">
        <f t="shared" si="95"/>
        <v>251872.79138782271</v>
      </c>
      <c r="S95" s="180">
        <f t="shared" si="96"/>
        <v>0</v>
      </c>
      <c r="T95" s="180">
        <f t="shared" si="97"/>
        <v>0</v>
      </c>
      <c r="U95" s="180">
        <f t="shared" si="98"/>
        <v>251872.79138782271</v>
      </c>
      <c r="V95" s="180">
        <f t="shared" si="99"/>
        <v>4532234.3686121777</v>
      </c>
      <c r="W95" s="180">
        <f t="shared" si="100"/>
        <v>5257174.2086121775</v>
      </c>
    </row>
    <row r="96" spans="2:23" x14ac:dyDescent="0.35">
      <c r="B96" s="158" t="s">
        <v>316</v>
      </c>
      <c r="C96" s="100" t="s">
        <v>37</v>
      </c>
      <c r="D96" s="102" t="s">
        <v>124</v>
      </c>
      <c r="E96" s="206">
        <v>600050</v>
      </c>
      <c r="F96" s="206">
        <v>550050</v>
      </c>
      <c r="G96" s="206">
        <v>0</v>
      </c>
      <c r="H96" s="206">
        <v>50000</v>
      </c>
      <c r="I96" s="206">
        <v>0</v>
      </c>
      <c r="J96" s="206">
        <v>51072.58</v>
      </c>
      <c r="K96" s="166">
        <f t="shared" si="89"/>
        <v>0</v>
      </c>
      <c r="L96" s="166">
        <f t="shared" si="90"/>
        <v>50000</v>
      </c>
      <c r="M96" s="166">
        <f t="shared" si="91"/>
        <v>1072.5800000000017</v>
      </c>
      <c r="N96" s="166">
        <v>58300.591857142863</v>
      </c>
      <c r="O96" s="180">
        <f t="shared" si="92"/>
        <v>0</v>
      </c>
      <c r="P96" s="180">
        <f t="shared" si="93"/>
        <v>0</v>
      </c>
      <c r="Q96" s="180">
        <f t="shared" si="94"/>
        <v>58300.591857142863</v>
      </c>
      <c r="R96" s="180">
        <f t="shared" si="95"/>
        <v>490676.82814285718</v>
      </c>
      <c r="S96" s="180">
        <f t="shared" si="96"/>
        <v>0</v>
      </c>
      <c r="T96" s="180">
        <f t="shared" si="97"/>
        <v>0</v>
      </c>
      <c r="U96" s="180">
        <f t="shared" si="98"/>
        <v>490676.82814285718</v>
      </c>
      <c r="V96" s="180">
        <f t="shared" si="99"/>
        <v>59373.171857142865</v>
      </c>
      <c r="W96" s="180">
        <f t="shared" si="100"/>
        <v>109373.17185714286</v>
      </c>
    </row>
    <row r="97" spans="2:23" x14ac:dyDescent="0.35">
      <c r="B97" s="158" t="s">
        <v>317</v>
      </c>
      <c r="C97" s="100" t="s">
        <v>37</v>
      </c>
      <c r="D97" s="102" t="s">
        <v>125</v>
      </c>
      <c r="E97" s="206">
        <v>6029650.3899999997</v>
      </c>
      <c r="F97" s="206">
        <v>5682923.5999999996</v>
      </c>
      <c r="G97" s="206">
        <v>0</v>
      </c>
      <c r="H97" s="206">
        <v>346726.79</v>
      </c>
      <c r="I97" s="206">
        <v>0</v>
      </c>
      <c r="J97" s="206">
        <v>6190519.0999999996</v>
      </c>
      <c r="K97" s="166">
        <f t="shared" si="89"/>
        <v>0</v>
      </c>
      <c r="L97" s="166">
        <f t="shared" si="90"/>
        <v>346726.79</v>
      </c>
      <c r="M97" s="166">
        <f t="shared" si="91"/>
        <v>5843792.3099999996</v>
      </c>
      <c r="N97" s="166">
        <v>1234612</v>
      </c>
      <c r="O97" s="180">
        <f t="shared" si="92"/>
        <v>0</v>
      </c>
      <c r="P97" s="180">
        <f t="shared" si="93"/>
        <v>0</v>
      </c>
      <c r="Q97" s="180">
        <f t="shared" si="94"/>
        <v>1234612</v>
      </c>
      <c r="R97" s="180">
        <f>SUM(S97:U97)</f>
        <v>-1395480.71</v>
      </c>
      <c r="S97" s="180">
        <f>G97-K97-O97</f>
        <v>0</v>
      </c>
      <c r="T97" s="180">
        <f>H97-L97-P97</f>
        <v>0</v>
      </c>
      <c r="U97" s="180">
        <f t="shared" si="98"/>
        <v>-1395480.71</v>
      </c>
      <c r="V97" s="180">
        <f>M97+Q97</f>
        <v>7078404.3099999996</v>
      </c>
      <c r="W97" s="180">
        <f t="shared" si="100"/>
        <v>7425131.0999999996</v>
      </c>
    </row>
    <row r="98" spans="2:23" x14ac:dyDescent="0.35">
      <c r="B98" s="158" t="s">
        <v>319</v>
      </c>
      <c r="C98" s="108" t="s">
        <v>37</v>
      </c>
      <c r="D98" s="106" t="s">
        <v>131</v>
      </c>
      <c r="E98" s="208">
        <v>22254160.725000001</v>
      </c>
      <c r="F98" s="208">
        <v>11856176.254649999</v>
      </c>
      <c r="G98" s="208">
        <v>0</v>
      </c>
      <c r="H98" s="208">
        <v>10397984.465</v>
      </c>
      <c r="I98" s="208">
        <v>0</v>
      </c>
      <c r="J98" s="208">
        <v>12618820.58</v>
      </c>
      <c r="K98" s="166">
        <f t="shared" si="89"/>
        <v>0</v>
      </c>
      <c r="L98" s="166">
        <f t="shared" si="90"/>
        <v>10397984.465</v>
      </c>
      <c r="M98" s="166">
        <f t="shared" si="91"/>
        <v>2220836.1150000002</v>
      </c>
      <c r="N98" s="166">
        <v>1908205.01</v>
      </c>
      <c r="O98" s="180">
        <f t="shared" si="92"/>
        <v>0</v>
      </c>
      <c r="P98" s="180">
        <f t="shared" si="93"/>
        <v>0</v>
      </c>
      <c r="Q98" s="180">
        <f t="shared" si="94"/>
        <v>1908205.01</v>
      </c>
      <c r="R98" s="180">
        <f>SUM(S98:U98)</f>
        <v>7727135.1296499986</v>
      </c>
      <c r="S98" s="180">
        <f>G98-K98-O98</f>
        <v>0</v>
      </c>
      <c r="T98" s="180">
        <f>H98-L98-P98</f>
        <v>0</v>
      </c>
      <c r="U98" s="180">
        <f t="shared" si="98"/>
        <v>7727135.1296499986</v>
      </c>
      <c r="V98" s="180">
        <f>M98+Q98</f>
        <v>4129041.125</v>
      </c>
      <c r="W98" s="180">
        <f t="shared" si="100"/>
        <v>14527025.59</v>
      </c>
    </row>
    <row r="99" spans="2:23" s="139" customFormat="1" x14ac:dyDescent="0.35">
      <c r="B99" s="161" t="s">
        <v>320</v>
      </c>
      <c r="C99" s="135" t="s">
        <v>37</v>
      </c>
      <c r="D99" s="134" t="s">
        <v>142</v>
      </c>
      <c r="E99" s="206">
        <v>10965614.800000001</v>
      </c>
      <c r="F99" s="206">
        <v>9919078.6699999999</v>
      </c>
      <c r="G99" s="206">
        <v>0</v>
      </c>
      <c r="H99" s="206">
        <v>1046536.13</v>
      </c>
      <c r="I99" s="206">
        <v>0</v>
      </c>
      <c r="J99" s="206">
        <v>9399849.5399999991</v>
      </c>
      <c r="K99" s="166">
        <f t="shared" si="89"/>
        <v>0</v>
      </c>
      <c r="L99" s="166">
        <f t="shared" si="90"/>
        <v>1046536.13</v>
      </c>
      <c r="M99" s="166">
        <f t="shared" si="91"/>
        <v>8353313.4099999992</v>
      </c>
      <c r="N99" s="166">
        <v>1471656</v>
      </c>
      <c r="O99" s="180">
        <f t="shared" si="92"/>
        <v>0</v>
      </c>
      <c r="P99" s="180">
        <f t="shared" si="93"/>
        <v>0</v>
      </c>
      <c r="Q99" s="180">
        <f t="shared" si="94"/>
        <v>1471656</v>
      </c>
      <c r="R99" s="180">
        <f t="shared" si="95"/>
        <v>94109.260000000708</v>
      </c>
      <c r="S99" s="180">
        <f t="shared" si="96"/>
        <v>0</v>
      </c>
      <c r="T99" s="180">
        <f t="shared" si="97"/>
        <v>0</v>
      </c>
      <c r="U99" s="180">
        <f t="shared" si="98"/>
        <v>94109.260000000708</v>
      </c>
      <c r="V99" s="180">
        <f t="shared" si="99"/>
        <v>9824969.4100000001</v>
      </c>
      <c r="W99" s="180">
        <f t="shared" si="100"/>
        <v>10871505.539999999</v>
      </c>
    </row>
    <row r="100" spans="2:23" s="139" customFormat="1" x14ac:dyDescent="0.35">
      <c r="B100" s="161" t="s">
        <v>395</v>
      </c>
      <c r="C100" s="135" t="s">
        <v>37</v>
      </c>
      <c r="D100" s="134" t="s">
        <v>396</v>
      </c>
      <c r="E100" s="206">
        <v>8272761.1900000004</v>
      </c>
      <c r="F100" s="206">
        <v>353450</v>
      </c>
      <c r="G100" s="206">
        <v>0</v>
      </c>
      <c r="H100" s="206">
        <v>7919311</v>
      </c>
      <c r="I100" s="206">
        <v>0</v>
      </c>
      <c r="J100" s="206">
        <v>11180110.560000001</v>
      </c>
      <c r="K100" s="166">
        <f t="shared" si="89"/>
        <v>0</v>
      </c>
      <c r="L100" s="166">
        <f t="shared" si="90"/>
        <v>7919311</v>
      </c>
      <c r="M100" s="166">
        <f t="shared" si="91"/>
        <v>3260799.5600000005</v>
      </c>
      <c r="N100" s="166">
        <v>2518498</v>
      </c>
      <c r="O100" s="180">
        <f t="shared" si="92"/>
        <v>0</v>
      </c>
      <c r="P100" s="180">
        <f t="shared" si="93"/>
        <v>0</v>
      </c>
      <c r="Q100" s="180">
        <f t="shared" si="94"/>
        <v>2518498</v>
      </c>
      <c r="R100" s="180">
        <f t="shared" si="95"/>
        <v>-5425847.5600000005</v>
      </c>
      <c r="S100" s="180">
        <f t="shared" si="96"/>
        <v>0</v>
      </c>
      <c r="T100" s="180">
        <f t="shared" si="97"/>
        <v>0</v>
      </c>
      <c r="U100" s="180">
        <f t="shared" si="98"/>
        <v>-5425847.5600000005</v>
      </c>
      <c r="V100" s="180">
        <f t="shared" si="99"/>
        <v>5779297.5600000005</v>
      </c>
      <c r="W100" s="180">
        <f t="shared" si="100"/>
        <v>13698608.560000001</v>
      </c>
    </row>
    <row r="101" spans="2:23" s="139" customFormat="1" x14ac:dyDescent="0.35">
      <c r="B101" s="161" t="s">
        <v>397</v>
      </c>
      <c r="C101" s="135" t="s">
        <v>37</v>
      </c>
      <c r="D101" s="134" t="s">
        <v>398</v>
      </c>
      <c r="E101" s="206">
        <v>460266.39999999997</v>
      </c>
      <c r="F101" s="206">
        <v>460266.39999999997</v>
      </c>
      <c r="G101" s="206">
        <v>0</v>
      </c>
      <c r="H101" s="206">
        <v>0</v>
      </c>
      <c r="I101" s="206">
        <v>0</v>
      </c>
      <c r="J101" s="206">
        <v>0</v>
      </c>
      <c r="K101" s="166">
        <f t="shared" si="89"/>
        <v>0</v>
      </c>
      <c r="L101" s="166">
        <f t="shared" si="90"/>
        <v>0</v>
      </c>
      <c r="M101" s="166">
        <f t="shared" si="91"/>
        <v>0</v>
      </c>
      <c r="N101" s="166">
        <v>0</v>
      </c>
      <c r="O101" s="180">
        <f t="shared" si="92"/>
        <v>0</v>
      </c>
      <c r="P101" s="180">
        <f t="shared" si="93"/>
        <v>0</v>
      </c>
      <c r="Q101" s="180">
        <f t="shared" si="94"/>
        <v>0</v>
      </c>
      <c r="R101" s="180">
        <f t="shared" si="95"/>
        <v>460266.39999999997</v>
      </c>
      <c r="S101" s="180">
        <f t="shared" si="96"/>
        <v>0</v>
      </c>
      <c r="T101" s="180">
        <f t="shared" si="97"/>
        <v>0</v>
      </c>
      <c r="U101" s="180">
        <f t="shared" si="98"/>
        <v>460266.39999999997</v>
      </c>
      <c r="V101" s="180">
        <f t="shared" si="99"/>
        <v>0</v>
      </c>
      <c r="W101" s="180">
        <f t="shared" si="100"/>
        <v>0</v>
      </c>
    </row>
    <row r="102" spans="2:23" x14ac:dyDescent="0.35">
      <c r="B102" s="158" t="s">
        <v>361</v>
      </c>
      <c r="C102" s="100" t="s">
        <v>37</v>
      </c>
      <c r="D102" s="102" t="s">
        <v>362</v>
      </c>
      <c r="E102" s="206">
        <v>1055758.3299999998</v>
      </c>
      <c r="F102" s="206">
        <v>0</v>
      </c>
      <c r="G102" s="206">
        <v>0</v>
      </c>
      <c r="H102" s="206">
        <v>1055758.3299999998</v>
      </c>
      <c r="I102" s="206">
        <v>0</v>
      </c>
      <c r="J102" s="206">
        <v>113594.54</v>
      </c>
      <c r="K102" s="166">
        <f t="shared" si="89"/>
        <v>0</v>
      </c>
      <c r="L102" s="166">
        <f t="shared" si="90"/>
        <v>113594.54</v>
      </c>
      <c r="M102" s="166">
        <f t="shared" si="91"/>
        <v>0</v>
      </c>
      <c r="N102" s="166">
        <f>729189+2589440</f>
        <v>3318629</v>
      </c>
      <c r="O102" s="180">
        <f t="shared" si="92"/>
        <v>0</v>
      </c>
      <c r="P102" s="180">
        <f t="shared" si="93"/>
        <v>942163.7899999998</v>
      </c>
      <c r="Q102" s="180">
        <f t="shared" si="94"/>
        <v>2376465.21</v>
      </c>
      <c r="R102" s="180">
        <f t="shared" si="95"/>
        <v>-2376465.21</v>
      </c>
      <c r="S102" s="180">
        <f t="shared" si="96"/>
        <v>0</v>
      </c>
      <c r="T102" s="180">
        <f t="shared" si="97"/>
        <v>0</v>
      </c>
      <c r="U102" s="180">
        <f t="shared" si="98"/>
        <v>-2376465.21</v>
      </c>
      <c r="V102" s="180">
        <f t="shared" si="99"/>
        <v>2376465.21</v>
      </c>
      <c r="W102" s="180">
        <f t="shared" si="100"/>
        <v>3432223.54</v>
      </c>
    </row>
    <row r="103" spans="2:23" x14ac:dyDescent="0.35">
      <c r="C103" s="86"/>
      <c r="D103" s="138"/>
      <c r="E103" s="210"/>
      <c r="F103" s="171"/>
      <c r="G103" s="171"/>
      <c r="H103" s="171"/>
      <c r="I103" s="171"/>
      <c r="J103" s="171"/>
      <c r="K103" s="174"/>
      <c r="L103" s="174"/>
      <c r="M103" s="174"/>
      <c r="N103" s="180"/>
      <c r="O103" s="175"/>
      <c r="P103" s="175"/>
      <c r="Q103" s="175"/>
      <c r="R103" s="175"/>
      <c r="S103" s="175"/>
      <c r="T103" s="175"/>
      <c r="U103" s="175"/>
      <c r="V103" s="175"/>
      <c r="W103" s="175"/>
    </row>
    <row r="104" spans="2:23" s="139" customFormat="1" x14ac:dyDescent="0.35">
      <c r="B104" s="161"/>
      <c r="C104" s="104"/>
      <c r="D104" s="101" t="s">
        <v>35</v>
      </c>
      <c r="E104" s="176">
        <f t="shared" ref="E104:W104" si="101">SUM(E105:E141)+E142+E173</f>
        <v>149203539.78</v>
      </c>
      <c r="F104" s="176">
        <f t="shared" si="101"/>
        <v>85238488.215000004</v>
      </c>
      <c r="G104" s="176">
        <f t="shared" si="101"/>
        <v>18903887.16</v>
      </c>
      <c r="H104" s="176">
        <f t="shared" si="101"/>
        <v>45061164.359999992</v>
      </c>
      <c r="I104" s="176">
        <f t="shared" si="101"/>
        <v>0</v>
      </c>
      <c r="J104" s="176">
        <f t="shared" si="101"/>
        <v>70967715.549999997</v>
      </c>
      <c r="K104" s="176">
        <f t="shared" si="101"/>
        <v>10942027.030000001</v>
      </c>
      <c r="L104" s="176">
        <f t="shared" si="101"/>
        <v>21820302.830000002</v>
      </c>
      <c r="M104" s="176">
        <f t="shared" si="101"/>
        <v>38205385.689999998</v>
      </c>
      <c r="N104" s="176">
        <f t="shared" si="101"/>
        <v>78235824.140000001</v>
      </c>
      <c r="O104" s="176">
        <f t="shared" si="101"/>
        <v>7961860.3900000006</v>
      </c>
      <c r="P104" s="176">
        <f t="shared" si="101"/>
        <v>23629766.66</v>
      </c>
      <c r="Q104" s="176">
        <f t="shared" si="101"/>
        <v>46644197.090000004</v>
      </c>
      <c r="R104" s="176">
        <f t="shared" si="101"/>
        <v>4.500000219559297E-2</v>
      </c>
      <c r="S104" s="176">
        <f t="shared" si="101"/>
        <v>-0.26000000030035153</v>
      </c>
      <c r="T104" s="176">
        <f t="shared" si="101"/>
        <v>-388905.13</v>
      </c>
      <c r="U104" s="176">
        <f t="shared" si="101"/>
        <v>388905.43500000262</v>
      </c>
      <c r="V104" s="176">
        <f t="shared" si="101"/>
        <v>84849582.780000001</v>
      </c>
      <c r="W104" s="176">
        <f t="shared" si="101"/>
        <v>149203539.69</v>
      </c>
    </row>
    <row r="105" spans="2:23" x14ac:dyDescent="0.35">
      <c r="B105" s="162">
        <v>108000</v>
      </c>
      <c r="C105" s="100" t="s">
        <v>144</v>
      </c>
      <c r="D105" s="106" t="s">
        <v>344</v>
      </c>
      <c r="E105" s="208">
        <v>0</v>
      </c>
      <c r="F105" s="208">
        <v>0</v>
      </c>
      <c r="G105" s="208">
        <v>0</v>
      </c>
      <c r="H105" s="208">
        <v>0</v>
      </c>
      <c r="I105" s="208">
        <v>0</v>
      </c>
      <c r="J105" s="208">
        <v>0</v>
      </c>
      <c r="K105" s="170">
        <f>IF(AND(G105&gt;0, J105&gt;0), MIN(J105, G105), 0)</f>
        <v>0</v>
      </c>
      <c r="L105" s="170">
        <f>IF(AND(H105&gt;0, J105&gt;0), MIN(H105, J105 - K105), 0)</f>
        <v>0</v>
      </c>
      <c r="M105" s="170">
        <f t="shared" ref="M105:M140" si="102">IF(J105&lt;0, J105, MAX(0, J105 - K105 - L105))</f>
        <v>0</v>
      </c>
      <c r="N105" s="208">
        <v>0</v>
      </c>
      <c r="O105" s="170">
        <f>IF(N105&gt;0, MIN(N105, MAX(0, G105 - K105)), 0)</f>
        <v>0</v>
      </c>
      <c r="P105" s="170">
        <f>IF((N105-O105)&gt;0, MIN((N105-O105), MAX(0, (H105-O105) - (L105-O105))), 0)</f>
        <v>0</v>
      </c>
      <c r="Q105" s="170">
        <f t="shared" ref="Q105:Q140" si="103">N105-O105-P105</f>
        <v>0</v>
      </c>
      <c r="R105" s="170">
        <f t="shared" ref="R105:R140" si="104">SUM(S105:U105)</f>
        <v>0</v>
      </c>
      <c r="S105" s="170">
        <f>G105-K105-O105</f>
        <v>0</v>
      </c>
      <c r="T105" s="170">
        <f>H105-L105-P105</f>
        <v>0</v>
      </c>
      <c r="U105" s="180">
        <f t="shared" ref="U105:U140" si="105">F105+I105-M105-Q105</f>
        <v>0</v>
      </c>
      <c r="V105" s="180">
        <f t="shared" ref="V105:V140" si="106">M105+Q105</f>
        <v>0</v>
      </c>
      <c r="W105" s="180">
        <f>J105+N105</f>
        <v>0</v>
      </c>
    </row>
    <row r="106" spans="2:23" x14ac:dyDescent="0.35">
      <c r="B106" s="163">
        <v>108100</v>
      </c>
      <c r="C106" s="135" t="s">
        <v>144</v>
      </c>
      <c r="D106" s="138" t="s">
        <v>347</v>
      </c>
      <c r="E106" s="208">
        <v>4268737.74</v>
      </c>
      <c r="F106" s="208">
        <v>0</v>
      </c>
      <c r="G106" s="208">
        <v>1627408.3</v>
      </c>
      <c r="H106" s="208">
        <f>4268737.74-1644818.62+17410.32</f>
        <v>2641329.44</v>
      </c>
      <c r="I106" s="208">
        <v>0</v>
      </c>
      <c r="J106" s="208">
        <v>0</v>
      </c>
      <c r="K106" s="170">
        <f t="shared" ref="K106:K140" si="107">IF(AND(G106&gt;0, J106&gt;0), MIN(J106, G106), 0)</f>
        <v>0</v>
      </c>
      <c r="L106" s="170">
        <f>IF(AND(H106&gt;0, J106&gt;0), MIN(H106, J106 - K106), 0)</f>
        <v>0</v>
      </c>
      <c r="M106" s="170">
        <f t="shared" si="102"/>
        <v>0</v>
      </c>
      <c r="N106" s="208">
        <f>E106-J106</f>
        <v>4268737.74</v>
      </c>
      <c r="O106" s="170">
        <f t="shared" ref="O106:O140" si="108">IF(N106&gt;0, MIN(N106, MAX(0, G106 - K106)), 0)</f>
        <v>1627408.3</v>
      </c>
      <c r="P106" s="170">
        <f>IF((N106-O106)&gt;0, MIN((N106-O106), MAX(0, (H106-O106) - (L106-O106))), 0)</f>
        <v>2641329.44</v>
      </c>
      <c r="Q106" s="170">
        <f t="shared" si="103"/>
        <v>0</v>
      </c>
      <c r="R106" s="170">
        <f t="shared" si="104"/>
        <v>0</v>
      </c>
      <c r="S106" s="170">
        <f t="shared" ref="S106:S140" si="109">G106-K106-O106</f>
        <v>0</v>
      </c>
      <c r="T106" s="170">
        <f t="shared" ref="T106:T140" si="110">H106-L106-P106</f>
        <v>0</v>
      </c>
      <c r="U106" s="180">
        <f t="shared" si="105"/>
        <v>0</v>
      </c>
      <c r="V106" s="180">
        <f t="shared" si="106"/>
        <v>0</v>
      </c>
      <c r="W106" s="180">
        <f t="shared" ref="W106:W140" si="111">J106+N106</f>
        <v>4268737.74</v>
      </c>
    </row>
    <row r="107" spans="2:23" ht="17.5" x14ac:dyDescent="0.35">
      <c r="B107" s="163" t="s">
        <v>462</v>
      </c>
      <c r="C107" s="100" t="s">
        <v>144</v>
      </c>
      <c r="D107" s="207" t="s">
        <v>468</v>
      </c>
      <c r="E107" s="208">
        <v>1078972.83</v>
      </c>
      <c r="F107" s="208">
        <v>0</v>
      </c>
      <c r="G107" s="208">
        <v>1078972.83</v>
      </c>
      <c r="H107" s="208">
        <v>0</v>
      </c>
      <c r="I107" s="208">
        <v>0</v>
      </c>
      <c r="J107" s="208">
        <v>20551.509999999998</v>
      </c>
      <c r="K107" s="170">
        <f t="shared" si="107"/>
        <v>20551.509999999998</v>
      </c>
      <c r="L107" s="170">
        <f>IF(AND([2]Tabelle1!B1&gt;0, J107&gt;0), MIN([2]Tabelle1!B1, J107 - K107), 0)</f>
        <v>0</v>
      </c>
      <c r="M107" s="170">
        <f t="shared" si="102"/>
        <v>0</v>
      </c>
      <c r="N107" s="208">
        <f>E107-J107</f>
        <v>1058421.32</v>
      </c>
      <c r="O107" s="170">
        <f t="shared" si="108"/>
        <v>1058421.32</v>
      </c>
      <c r="P107" s="170">
        <f>IF((N107-O107)&gt;0, MIN((N107-O107), MAX(0, ([2]Tabelle1!B1-O107) - (L107-O107))), 0)</f>
        <v>0</v>
      </c>
      <c r="Q107" s="170">
        <f t="shared" si="103"/>
        <v>0</v>
      </c>
      <c r="R107" s="170">
        <f t="shared" si="104"/>
        <v>0</v>
      </c>
      <c r="S107" s="170">
        <f t="shared" si="109"/>
        <v>0</v>
      </c>
      <c r="T107" s="170">
        <f t="shared" si="110"/>
        <v>0</v>
      </c>
      <c r="U107" s="180">
        <f t="shared" si="105"/>
        <v>0</v>
      </c>
      <c r="V107" s="180">
        <f t="shared" si="106"/>
        <v>0</v>
      </c>
      <c r="W107" s="180">
        <f t="shared" si="111"/>
        <v>1078972.83</v>
      </c>
    </row>
    <row r="108" spans="2:23" ht="17.5" x14ac:dyDescent="0.35">
      <c r="B108" s="163" t="s">
        <v>463</v>
      </c>
      <c r="C108" s="135" t="s">
        <v>144</v>
      </c>
      <c r="D108" s="207" t="s">
        <v>469</v>
      </c>
      <c r="E108" s="208">
        <v>1078972.8700000001</v>
      </c>
      <c r="F108" s="208">
        <v>0</v>
      </c>
      <c r="G108" s="208">
        <v>1078972.8700000001</v>
      </c>
      <c r="H108" s="208">
        <v>0</v>
      </c>
      <c r="I108" s="208">
        <v>0</v>
      </c>
      <c r="J108" s="208">
        <v>1078972.8700000001</v>
      </c>
      <c r="K108" s="170">
        <f t="shared" si="107"/>
        <v>1078972.8700000001</v>
      </c>
      <c r="L108" s="170">
        <f>IF(AND([2]Tabelle1!B2&gt;0, J108&gt;0), MIN([2]Tabelle1!B2, J108 - K108), 0)</f>
        <v>0</v>
      </c>
      <c r="M108" s="170">
        <f t="shared" si="102"/>
        <v>0</v>
      </c>
      <c r="N108" s="208">
        <v>0</v>
      </c>
      <c r="O108" s="170">
        <f t="shared" si="108"/>
        <v>0</v>
      </c>
      <c r="P108" s="170">
        <f>IF((N108-O108)&gt;0, MIN((N108-O108), MAX(0, ([2]Tabelle1!B2-O108) - (L108-O108))), 0)</f>
        <v>0</v>
      </c>
      <c r="Q108" s="170">
        <f t="shared" si="103"/>
        <v>0</v>
      </c>
      <c r="R108" s="170">
        <f t="shared" si="104"/>
        <v>0</v>
      </c>
      <c r="S108" s="170">
        <f t="shared" si="109"/>
        <v>0</v>
      </c>
      <c r="T108" s="170">
        <f t="shared" si="110"/>
        <v>0</v>
      </c>
      <c r="U108" s="180">
        <f t="shared" si="105"/>
        <v>0</v>
      </c>
      <c r="V108" s="180">
        <f t="shared" si="106"/>
        <v>0</v>
      </c>
      <c r="W108" s="180">
        <f t="shared" si="111"/>
        <v>1078972.8700000001</v>
      </c>
    </row>
    <row r="109" spans="2:23" ht="17.5" x14ac:dyDescent="0.35">
      <c r="B109" s="163" t="s">
        <v>464</v>
      </c>
      <c r="C109" s="100" t="s">
        <v>144</v>
      </c>
      <c r="D109" s="207" t="s">
        <v>470</v>
      </c>
      <c r="E109" s="208">
        <v>1078972.8700000001</v>
      </c>
      <c r="F109" s="208">
        <v>0</v>
      </c>
      <c r="G109" s="208">
        <v>1078972.8700000001</v>
      </c>
      <c r="H109" s="208">
        <v>0</v>
      </c>
      <c r="I109" s="208">
        <v>0</v>
      </c>
      <c r="J109" s="208">
        <v>0</v>
      </c>
      <c r="K109" s="170">
        <f t="shared" si="107"/>
        <v>0</v>
      </c>
      <c r="L109" s="170">
        <f>IF(AND([2]Tabelle1!B3&gt;0, J109&gt;0), MIN([2]Tabelle1!B3, J109 - K109), 0)</f>
        <v>0</v>
      </c>
      <c r="M109" s="170">
        <f t="shared" si="102"/>
        <v>0</v>
      </c>
      <c r="N109" s="208">
        <f t="shared" ref="N109:N140" si="112">E109-J109</f>
        <v>1078972.8700000001</v>
      </c>
      <c r="O109" s="170">
        <f t="shared" si="108"/>
        <v>1078972.8700000001</v>
      </c>
      <c r="P109" s="170">
        <f>IF((N109-O109)&gt;0, MIN((N109-O109), MAX(0, ([2]Tabelle1!B3-O109) - (L109-O109))), 0)</f>
        <v>0</v>
      </c>
      <c r="Q109" s="170">
        <f t="shared" si="103"/>
        <v>0</v>
      </c>
      <c r="R109" s="170">
        <f t="shared" si="104"/>
        <v>0</v>
      </c>
      <c r="S109" s="170">
        <f t="shared" si="109"/>
        <v>0</v>
      </c>
      <c r="T109" s="170">
        <f t="shared" si="110"/>
        <v>0</v>
      </c>
      <c r="U109" s="180">
        <f t="shared" si="105"/>
        <v>0</v>
      </c>
      <c r="V109" s="180">
        <f t="shared" si="106"/>
        <v>0</v>
      </c>
      <c r="W109" s="180">
        <f t="shared" si="111"/>
        <v>1078972.8700000001</v>
      </c>
    </row>
    <row r="110" spans="2:23" ht="17.5" x14ac:dyDescent="0.35">
      <c r="B110" s="163" t="s">
        <v>465</v>
      </c>
      <c r="C110" s="135" t="s">
        <v>144</v>
      </c>
      <c r="D110" s="207" t="s">
        <v>471</v>
      </c>
      <c r="E110" s="208">
        <v>1078972.8700000001</v>
      </c>
      <c r="F110" s="208">
        <v>0</v>
      </c>
      <c r="G110" s="208">
        <v>1078972.8700000001</v>
      </c>
      <c r="H110" s="208">
        <v>0</v>
      </c>
      <c r="I110" s="208">
        <v>0</v>
      </c>
      <c r="J110" s="208">
        <v>291446.09999999998</v>
      </c>
      <c r="K110" s="170">
        <f t="shared" si="107"/>
        <v>291446.09999999998</v>
      </c>
      <c r="L110" s="170">
        <f>IF(AND([2]Tabelle1!B4&gt;0, J110&gt;0), MIN([2]Tabelle1!B4, J110 - K110), 0)</f>
        <v>0</v>
      </c>
      <c r="M110" s="170">
        <f t="shared" si="102"/>
        <v>0</v>
      </c>
      <c r="N110" s="208">
        <f t="shared" si="112"/>
        <v>787526.77000000014</v>
      </c>
      <c r="O110" s="170">
        <f t="shared" si="108"/>
        <v>787526.77000000014</v>
      </c>
      <c r="P110" s="170">
        <f>IF((N110-O110)&gt;0, MIN((N110-O110), MAX(0, ([2]Tabelle1!B4-O110) - (L110-O110))), 0)</f>
        <v>0</v>
      </c>
      <c r="Q110" s="170">
        <f t="shared" si="103"/>
        <v>0</v>
      </c>
      <c r="R110" s="170">
        <f t="shared" si="104"/>
        <v>0</v>
      </c>
      <c r="S110" s="170">
        <f t="shared" si="109"/>
        <v>0</v>
      </c>
      <c r="T110" s="170">
        <f t="shared" si="110"/>
        <v>0</v>
      </c>
      <c r="U110" s="180">
        <f t="shared" si="105"/>
        <v>0</v>
      </c>
      <c r="V110" s="180">
        <f t="shared" si="106"/>
        <v>0</v>
      </c>
      <c r="W110" s="180">
        <f t="shared" si="111"/>
        <v>1078972.8700000001</v>
      </c>
    </row>
    <row r="111" spans="2:23" ht="17.5" x14ac:dyDescent="0.35">
      <c r="B111" s="163" t="s">
        <v>466</v>
      </c>
      <c r="C111" s="100" t="s">
        <v>144</v>
      </c>
      <c r="D111" s="207" t="s">
        <v>472</v>
      </c>
      <c r="E111" s="208">
        <v>1078972.8700000001</v>
      </c>
      <c r="F111" s="208">
        <v>0</v>
      </c>
      <c r="G111" s="208">
        <v>1078972.8700000001</v>
      </c>
      <c r="H111" s="208">
        <v>0</v>
      </c>
      <c r="I111" s="208">
        <v>0</v>
      </c>
      <c r="J111" s="208">
        <v>377027.12</v>
      </c>
      <c r="K111" s="170">
        <f t="shared" si="107"/>
        <v>377027.12</v>
      </c>
      <c r="L111" s="170">
        <f>IF(AND([2]Tabelle1!B5&gt;0, J111&gt;0), MIN([2]Tabelle1!B5, J111 - K111), 0)</f>
        <v>0</v>
      </c>
      <c r="M111" s="170">
        <f t="shared" si="102"/>
        <v>0</v>
      </c>
      <c r="N111" s="208">
        <f t="shared" si="112"/>
        <v>701945.75000000012</v>
      </c>
      <c r="O111" s="170">
        <f t="shared" si="108"/>
        <v>701945.75000000012</v>
      </c>
      <c r="P111" s="170">
        <f>IF((N111-O111)&gt;0, MIN((N111-O111), MAX(0, ([2]Tabelle1!B5-O111) - (L111-O111))), 0)</f>
        <v>0</v>
      </c>
      <c r="Q111" s="170">
        <f t="shared" si="103"/>
        <v>0</v>
      </c>
      <c r="R111" s="170">
        <f t="shared" si="104"/>
        <v>0</v>
      </c>
      <c r="S111" s="170">
        <f t="shared" si="109"/>
        <v>0</v>
      </c>
      <c r="T111" s="170">
        <f t="shared" si="110"/>
        <v>0</v>
      </c>
      <c r="U111" s="180">
        <f t="shared" si="105"/>
        <v>0</v>
      </c>
      <c r="V111" s="180">
        <f t="shared" si="106"/>
        <v>0</v>
      </c>
      <c r="W111" s="180">
        <f t="shared" si="111"/>
        <v>1078972.8700000001</v>
      </c>
    </row>
    <row r="112" spans="2:23" ht="17.5" x14ac:dyDescent="0.35">
      <c r="B112" s="163" t="s">
        <v>467</v>
      </c>
      <c r="C112" s="135" t="s">
        <v>144</v>
      </c>
      <c r="D112" s="207" t="s">
        <v>473</v>
      </c>
      <c r="E112" s="208">
        <v>1078972.8600000001</v>
      </c>
      <c r="F112" s="208">
        <v>0</v>
      </c>
      <c r="G112" s="208">
        <v>1078972.8600000001</v>
      </c>
      <c r="H112" s="208">
        <v>0</v>
      </c>
      <c r="I112" s="208">
        <v>0</v>
      </c>
      <c r="J112" s="208">
        <v>276745.59999999998</v>
      </c>
      <c r="K112" s="170">
        <f t="shared" si="107"/>
        <v>276745.59999999998</v>
      </c>
      <c r="L112" s="170">
        <f>IF(AND([2]Tabelle1!B6&gt;0, J112&gt;0), MIN([2]Tabelle1!B6, J112 - K112), 0)</f>
        <v>0</v>
      </c>
      <c r="M112" s="170">
        <f t="shared" si="102"/>
        <v>0</v>
      </c>
      <c r="N112" s="208">
        <f t="shared" si="112"/>
        <v>802227.26000000013</v>
      </c>
      <c r="O112" s="170">
        <f t="shared" si="108"/>
        <v>802227.26000000013</v>
      </c>
      <c r="P112" s="170">
        <f>IF((N112-O112)&gt;0, MIN((N112-O112), MAX(0, ([2]Tabelle1!B6-O112) - (L112-O112))), 0)</f>
        <v>0</v>
      </c>
      <c r="Q112" s="170">
        <f t="shared" si="103"/>
        <v>0</v>
      </c>
      <c r="R112" s="170">
        <f t="shared" si="104"/>
        <v>0</v>
      </c>
      <c r="S112" s="170">
        <f t="shared" si="109"/>
        <v>0</v>
      </c>
      <c r="T112" s="170">
        <f t="shared" si="110"/>
        <v>0</v>
      </c>
      <c r="U112" s="180">
        <f t="shared" si="105"/>
        <v>0</v>
      </c>
      <c r="V112" s="180">
        <f t="shared" si="106"/>
        <v>0</v>
      </c>
      <c r="W112" s="180">
        <f t="shared" si="111"/>
        <v>1078972.8600000001</v>
      </c>
    </row>
    <row r="113" spans="2:23" x14ac:dyDescent="0.35">
      <c r="B113" s="163">
        <v>108200</v>
      </c>
      <c r="C113" s="135">
        <v>53806</v>
      </c>
      <c r="D113" s="138" t="s">
        <v>339</v>
      </c>
      <c r="E113" s="208">
        <v>5394653.3499999996</v>
      </c>
      <c r="F113" s="208">
        <v>5394653.3499999996</v>
      </c>
      <c r="G113" s="208">
        <v>0</v>
      </c>
      <c r="H113" s="208">
        <v>0</v>
      </c>
      <c r="I113" s="208">
        <v>0</v>
      </c>
      <c r="J113" s="208">
        <v>182368.1</v>
      </c>
      <c r="K113" s="170">
        <f t="shared" si="107"/>
        <v>0</v>
      </c>
      <c r="L113" s="170">
        <f t="shared" ref="L113:L140" si="113">IF(AND(H113&gt;0, J113&gt;0), MIN(H113, J113 - K113), 0)</f>
        <v>0</v>
      </c>
      <c r="M113" s="170">
        <f t="shared" si="102"/>
        <v>182368.1</v>
      </c>
      <c r="N113" s="208">
        <f t="shared" si="112"/>
        <v>5212285.25</v>
      </c>
      <c r="O113" s="170">
        <f t="shared" si="108"/>
        <v>0</v>
      </c>
      <c r="P113" s="170">
        <f t="shared" ref="P113:P140" si="114">IF((N113-O113)&gt;0, MIN((N113-O113), MAX(0, (H113-O113) - (L113-O113))), 0)</f>
        <v>0</v>
      </c>
      <c r="Q113" s="170">
        <f t="shared" si="103"/>
        <v>5212285.25</v>
      </c>
      <c r="R113" s="170">
        <f t="shared" si="104"/>
        <v>0</v>
      </c>
      <c r="S113" s="170">
        <f t="shared" si="109"/>
        <v>0</v>
      </c>
      <c r="T113" s="170">
        <f t="shared" si="110"/>
        <v>0</v>
      </c>
      <c r="U113" s="180">
        <f t="shared" si="105"/>
        <v>0</v>
      </c>
      <c r="V113" s="180">
        <f t="shared" si="106"/>
        <v>5394653.3499999996</v>
      </c>
      <c r="W113" s="180">
        <f t="shared" si="111"/>
        <v>5394653.3499999996</v>
      </c>
    </row>
    <row r="114" spans="2:23" x14ac:dyDescent="0.35">
      <c r="B114" s="211" t="s">
        <v>406</v>
      </c>
      <c r="C114" s="212" t="s">
        <v>144</v>
      </c>
      <c r="D114" s="213" t="s">
        <v>437</v>
      </c>
      <c r="E114" s="208">
        <v>120000</v>
      </c>
      <c r="F114" s="208">
        <v>120000</v>
      </c>
      <c r="G114" s="208">
        <v>0</v>
      </c>
      <c r="H114" s="208">
        <v>0</v>
      </c>
      <c r="I114" s="208">
        <v>0</v>
      </c>
      <c r="J114" s="208">
        <v>0</v>
      </c>
      <c r="K114" s="170">
        <f t="shared" si="107"/>
        <v>0</v>
      </c>
      <c r="L114" s="170">
        <f t="shared" si="113"/>
        <v>0</v>
      </c>
      <c r="M114" s="170">
        <f t="shared" si="102"/>
        <v>0</v>
      </c>
      <c r="N114" s="208">
        <f t="shared" si="112"/>
        <v>120000</v>
      </c>
      <c r="O114" s="170">
        <f t="shared" si="108"/>
        <v>0</v>
      </c>
      <c r="P114" s="170">
        <f t="shared" si="114"/>
        <v>0</v>
      </c>
      <c r="Q114" s="170">
        <f t="shared" si="103"/>
        <v>120000</v>
      </c>
      <c r="R114" s="170">
        <f t="shared" si="104"/>
        <v>0</v>
      </c>
      <c r="S114" s="170">
        <f t="shared" si="109"/>
        <v>0</v>
      </c>
      <c r="T114" s="170">
        <f t="shared" si="110"/>
        <v>0</v>
      </c>
      <c r="U114" s="180">
        <f t="shared" si="105"/>
        <v>0</v>
      </c>
      <c r="V114" s="180">
        <f t="shared" si="106"/>
        <v>120000</v>
      </c>
      <c r="W114" s="180">
        <f t="shared" si="111"/>
        <v>120000</v>
      </c>
    </row>
    <row r="115" spans="2:23" x14ac:dyDescent="0.35">
      <c r="B115" s="211" t="s">
        <v>407</v>
      </c>
      <c r="C115" s="212" t="s">
        <v>144</v>
      </c>
      <c r="D115" s="213" t="s">
        <v>438</v>
      </c>
      <c r="E115" s="208">
        <v>520000</v>
      </c>
      <c r="F115" s="208">
        <v>520000</v>
      </c>
      <c r="G115" s="208">
        <v>0</v>
      </c>
      <c r="H115" s="208">
        <v>0</v>
      </c>
      <c r="I115" s="208">
        <v>0</v>
      </c>
      <c r="J115" s="208">
        <v>0</v>
      </c>
      <c r="K115" s="170">
        <f t="shared" si="107"/>
        <v>0</v>
      </c>
      <c r="L115" s="170">
        <f t="shared" si="113"/>
        <v>0</v>
      </c>
      <c r="M115" s="170">
        <f t="shared" si="102"/>
        <v>0</v>
      </c>
      <c r="N115" s="208">
        <f t="shared" si="112"/>
        <v>520000</v>
      </c>
      <c r="O115" s="170">
        <f t="shared" si="108"/>
        <v>0</v>
      </c>
      <c r="P115" s="170">
        <f t="shared" si="114"/>
        <v>0</v>
      </c>
      <c r="Q115" s="170">
        <f t="shared" si="103"/>
        <v>520000</v>
      </c>
      <c r="R115" s="170">
        <f t="shared" si="104"/>
        <v>0</v>
      </c>
      <c r="S115" s="170">
        <f t="shared" si="109"/>
        <v>0</v>
      </c>
      <c r="T115" s="170">
        <f t="shared" si="110"/>
        <v>0</v>
      </c>
      <c r="U115" s="180">
        <f t="shared" si="105"/>
        <v>0</v>
      </c>
      <c r="V115" s="180">
        <f t="shared" si="106"/>
        <v>520000</v>
      </c>
      <c r="W115" s="180">
        <f t="shared" si="111"/>
        <v>520000</v>
      </c>
    </row>
    <row r="116" spans="2:23" ht="17.5" x14ac:dyDescent="0.35">
      <c r="B116" s="214" t="s">
        <v>408</v>
      </c>
      <c r="C116" s="212" t="s">
        <v>144</v>
      </c>
      <c r="D116" s="213" t="s">
        <v>459</v>
      </c>
      <c r="E116" s="208">
        <v>369600</v>
      </c>
      <c r="F116" s="208">
        <v>369600</v>
      </c>
      <c r="G116" s="208">
        <v>0</v>
      </c>
      <c r="H116" s="208">
        <v>0</v>
      </c>
      <c r="I116" s="208">
        <v>0</v>
      </c>
      <c r="J116" s="208">
        <v>14161</v>
      </c>
      <c r="K116" s="170">
        <f t="shared" si="107"/>
        <v>0</v>
      </c>
      <c r="L116" s="170">
        <f t="shared" si="113"/>
        <v>0</v>
      </c>
      <c r="M116" s="170">
        <f t="shared" si="102"/>
        <v>14161</v>
      </c>
      <c r="N116" s="208">
        <f t="shared" si="112"/>
        <v>355439</v>
      </c>
      <c r="O116" s="170">
        <f t="shared" si="108"/>
        <v>0</v>
      </c>
      <c r="P116" s="170">
        <f t="shared" si="114"/>
        <v>0</v>
      </c>
      <c r="Q116" s="170">
        <f t="shared" si="103"/>
        <v>355439</v>
      </c>
      <c r="R116" s="170">
        <f t="shared" si="104"/>
        <v>0</v>
      </c>
      <c r="S116" s="170">
        <f t="shared" si="109"/>
        <v>0</v>
      </c>
      <c r="T116" s="170">
        <f t="shared" si="110"/>
        <v>0</v>
      </c>
      <c r="U116" s="180">
        <f t="shared" si="105"/>
        <v>0</v>
      </c>
      <c r="V116" s="180">
        <f t="shared" si="106"/>
        <v>369600</v>
      </c>
      <c r="W116" s="180">
        <f t="shared" si="111"/>
        <v>369600</v>
      </c>
    </row>
    <row r="117" spans="2:23" x14ac:dyDescent="0.35">
      <c r="B117" s="211">
        <v>108204</v>
      </c>
      <c r="C117" s="212" t="s">
        <v>144</v>
      </c>
      <c r="D117" s="213" t="s">
        <v>460</v>
      </c>
      <c r="E117" s="208">
        <v>393000</v>
      </c>
      <c r="F117" s="208">
        <v>393000</v>
      </c>
      <c r="G117" s="208">
        <v>0</v>
      </c>
      <c r="H117" s="208">
        <v>0</v>
      </c>
      <c r="I117" s="208">
        <v>0</v>
      </c>
      <c r="J117" s="208">
        <v>0</v>
      </c>
      <c r="K117" s="170">
        <f t="shared" si="107"/>
        <v>0</v>
      </c>
      <c r="L117" s="170">
        <f t="shared" si="113"/>
        <v>0</v>
      </c>
      <c r="M117" s="170">
        <f t="shared" si="102"/>
        <v>0</v>
      </c>
      <c r="N117" s="208">
        <f t="shared" si="112"/>
        <v>393000</v>
      </c>
      <c r="O117" s="170">
        <f t="shared" si="108"/>
        <v>0</v>
      </c>
      <c r="P117" s="170">
        <f t="shared" si="114"/>
        <v>0</v>
      </c>
      <c r="Q117" s="170">
        <f t="shared" si="103"/>
        <v>393000</v>
      </c>
      <c r="R117" s="170">
        <f t="shared" si="104"/>
        <v>0</v>
      </c>
      <c r="S117" s="170">
        <f t="shared" si="109"/>
        <v>0</v>
      </c>
      <c r="T117" s="170">
        <f t="shared" si="110"/>
        <v>0</v>
      </c>
      <c r="U117" s="180">
        <f t="shared" si="105"/>
        <v>0</v>
      </c>
      <c r="V117" s="180">
        <f t="shared" si="106"/>
        <v>393000</v>
      </c>
      <c r="W117" s="180">
        <f t="shared" si="111"/>
        <v>393000</v>
      </c>
    </row>
    <row r="118" spans="2:23" x14ac:dyDescent="0.35">
      <c r="B118" s="211" t="s">
        <v>409</v>
      </c>
      <c r="C118" s="212" t="s">
        <v>144</v>
      </c>
      <c r="D118" s="213" t="s">
        <v>439</v>
      </c>
      <c r="E118" s="208">
        <v>570000</v>
      </c>
      <c r="F118" s="208">
        <v>570000</v>
      </c>
      <c r="G118" s="208">
        <v>0</v>
      </c>
      <c r="H118" s="208">
        <v>0</v>
      </c>
      <c r="I118" s="208">
        <v>0</v>
      </c>
      <c r="J118" s="208">
        <v>0</v>
      </c>
      <c r="K118" s="170">
        <f t="shared" si="107"/>
        <v>0</v>
      </c>
      <c r="L118" s="170">
        <f t="shared" si="113"/>
        <v>0</v>
      </c>
      <c r="M118" s="170">
        <f t="shared" si="102"/>
        <v>0</v>
      </c>
      <c r="N118" s="208">
        <f t="shared" si="112"/>
        <v>570000</v>
      </c>
      <c r="O118" s="170">
        <f t="shared" si="108"/>
        <v>0</v>
      </c>
      <c r="P118" s="170">
        <f t="shared" si="114"/>
        <v>0</v>
      </c>
      <c r="Q118" s="170">
        <f t="shared" si="103"/>
        <v>570000</v>
      </c>
      <c r="R118" s="170">
        <f t="shared" si="104"/>
        <v>0</v>
      </c>
      <c r="S118" s="170">
        <f t="shared" si="109"/>
        <v>0</v>
      </c>
      <c r="T118" s="170">
        <f t="shared" si="110"/>
        <v>0</v>
      </c>
      <c r="U118" s="180">
        <f t="shared" si="105"/>
        <v>0</v>
      </c>
      <c r="V118" s="180">
        <f t="shared" si="106"/>
        <v>570000</v>
      </c>
      <c r="W118" s="180">
        <f t="shared" si="111"/>
        <v>570000</v>
      </c>
    </row>
    <row r="119" spans="2:23" x14ac:dyDescent="0.35">
      <c r="B119" s="211" t="s">
        <v>410</v>
      </c>
      <c r="C119" s="212" t="s">
        <v>144</v>
      </c>
      <c r="D119" s="213" t="s">
        <v>440</v>
      </c>
      <c r="E119" s="208">
        <v>336250</v>
      </c>
      <c r="F119" s="208">
        <v>336250</v>
      </c>
      <c r="G119" s="208">
        <v>0</v>
      </c>
      <c r="H119" s="208">
        <v>0</v>
      </c>
      <c r="I119" s="208">
        <v>0</v>
      </c>
      <c r="J119" s="208">
        <v>0</v>
      </c>
      <c r="K119" s="170">
        <f t="shared" si="107"/>
        <v>0</v>
      </c>
      <c r="L119" s="170">
        <f t="shared" si="113"/>
        <v>0</v>
      </c>
      <c r="M119" s="170">
        <f t="shared" si="102"/>
        <v>0</v>
      </c>
      <c r="N119" s="208">
        <f t="shared" si="112"/>
        <v>336250</v>
      </c>
      <c r="O119" s="170">
        <f t="shared" si="108"/>
        <v>0</v>
      </c>
      <c r="P119" s="170">
        <f t="shared" si="114"/>
        <v>0</v>
      </c>
      <c r="Q119" s="170">
        <f t="shared" si="103"/>
        <v>336250</v>
      </c>
      <c r="R119" s="170">
        <f t="shared" si="104"/>
        <v>0</v>
      </c>
      <c r="S119" s="170">
        <f t="shared" si="109"/>
        <v>0</v>
      </c>
      <c r="T119" s="170">
        <f t="shared" si="110"/>
        <v>0</v>
      </c>
      <c r="U119" s="180">
        <f t="shared" si="105"/>
        <v>0</v>
      </c>
      <c r="V119" s="180">
        <f t="shared" si="106"/>
        <v>336250</v>
      </c>
      <c r="W119" s="180">
        <f t="shared" si="111"/>
        <v>336250</v>
      </c>
    </row>
    <row r="120" spans="2:23" x14ac:dyDescent="0.35">
      <c r="B120" s="211" t="s">
        <v>411</v>
      </c>
      <c r="C120" s="212" t="s">
        <v>144</v>
      </c>
      <c r="D120" s="213" t="s">
        <v>441</v>
      </c>
      <c r="E120" s="208">
        <v>318000</v>
      </c>
      <c r="F120" s="208">
        <v>318000</v>
      </c>
      <c r="G120" s="208">
        <v>0</v>
      </c>
      <c r="H120" s="208">
        <v>0</v>
      </c>
      <c r="I120" s="208">
        <v>0</v>
      </c>
      <c r="J120" s="208">
        <v>0</v>
      </c>
      <c r="K120" s="170">
        <f t="shared" si="107"/>
        <v>0</v>
      </c>
      <c r="L120" s="170">
        <f t="shared" si="113"/>
        <v>0</v>
      </c>
      <c r="M120" s="170">
        <f t="shared" si="102"/>
        <v>0</v>
      </c>
      <c r="N120" s="208">
        <f t="shared" si="112"/>
        <v>318000</v>
      </c>
      <c r="O120" s="170">
        <f t="shared" si="108"/>
        <v>0</v>
      </c>
      <c r="P120" s="170">
        <f t="shared" si="114"/>
        <v>0</v>
      </c>
      <c r="Q120" s="170">
        <f t="shared" si="103"/>
        <v>318000</v>
      </c>
      <c r="R120" s="170">
        <f t="shared" si="104"/>
        <v>0</v>
      </c>
      <c r="S120" s="170">
        <f t="shared" si="109"/>
        <v>0</v>
      </c>
      <c r="T120" s="170">
        <f t="shared" si="110"/>
        <v>0</v>
      </c>
      <c r="U120" s="180">
        <f t="shared" si="105"/>
        <v>0</v>
      </c>
      <c r="V120" s="180">
        <f t="shared" si="106"/>
        <v>318000</v>
      </c>
      <c r="W120" s="180">
        <f t="shared" si="111"/>
        <v>318000</v>
      </c>
    </row>
    <row r="121" spans="2:23" x14ac:dyDescent="0.35">
      <c r="B121" s="211" t="s">
        <v>412</v>
      </c>
      <c r="C121" s="212" t="s">
        <v>144</v>
      </c>
      <c r="D121" s="213" t="s">
        <v>442</v>
      </c>
      <c r="E121" s="208">
        <v>379750</v>
      </c>
      <c r="F121" s="208">
        <v>379750</v>
      </c>
      <c r="G121" s="208">
        <v>0</v>
      </c>
      <c r="H121" s="208">
        <v>0</v>
      </c>
      <c r="I121" s="208">
        <v>0</v>
      </c>
      <c r="J121" s="208">
        <v>0</v>
      </c>
      <c r="K121" s="170">
        <f t="shared" si="107"/>
        <v>0</v>
      </c>
      <c r="L121" s="170">
        <f t="shared" si="113"/>
        <v>0</v>
      </c>
      <c r="M121" s="170">
        <f t="shared" si="102"/>
        <v>0</v>
      </c>
      <c r="N121" s="208">
        <f t="shared" si="112"/>
        <v>379750</v>
      </c>
      <c r="O121" s="170">
        <f t="shared" si="108"/>
        <v>0</v>
      </c>
      <c r="P121" s="170">
        <f t="shared" si="114"/>
        <v>0</v>
      </c>
      <c r="Q121" s="170">
        <f t="shared" si="103"/>
        <v>379750</v>
      </c>
      <c r="R121" s="170">
        <f t="shared" si="104"/>
        <v>0</v>
      </c>
      <c r="S121" s="170">
        <f t="shared" si="109"/>
        <v>0</v>
      </c>
      <c r="T121" s="170">
        <f t="shared" si="110"/>
        <v>0</v>
      </c>
      <c r="U121" s="180">
        <f t="shared" si="105"/>
        <v>0</v>
      </c>
      <c r="V121" s="180">
        <f t="shared" si="106"/>
        <v>379750</v>
      </c>
      <c r="W121" s="180">
        <f t="shared" si="111"/>
        <v>379750</v>
      </c>
    </row>
    <row r="122" spans="2:23" x14ac:dyDescent="0.35">
      <c r="B122" s="211" t="s">
        <v>413</v>
      </c>
      <c r="C122" s="212" t="s">
        <v>144</v>
      </c>
      <c r="D122" s="213" t="s">
        <v>457</v>
      </c>
      <c r="E122" s="208">
        <v>24500</v>
      </c>
      <c r="F122" s="208">
        <v>24500</v>
      </c>
      <c r="G122" s="208">
        <v>0</v>
      </c>
      <c r="H122" s="208">
        <v>0</v>
      </c>
      <c r="I122" s="208">
        <v>0</v>
      </c>
      <c r="J122" s="208">
        <v>0</v>
      </c>
      <c r="K122" s="170">
        <f t="shared" si="107"/>
        <v>0</v>
      </c>
      <c r="L122" s="170">
        <f t="shared" si="113"/>
        <v>0</v>
      </c>
      <c r="M122" s="170">
        <f t="shared" si="102"/>
        <v>0</v>
      </c>
      <c r="N122" s="208">
        <f t="shared" si="112"/>
        <v>24500</v>
      </c>
      <c r="O122" s="170">
        <f t="shared" si="108"/>
        <v>0</v>
      </c>
      <c r="P122" s="170">
        <f t="shared" si="114"/>
        <v>0</v>
      </c>
      <c r="Q122" s="170">
        <f t="shared" si="103"/>
        <v>24500</v>
      </c>
      <c r="R122" s="170">
        <f t="shared" si="104"/>
        <v>0</v>
      </c>
      <c r="S122" s="170">
        <f t="shared" si="109"/>
        <v>0</v>
      </c>
      <c r="T122" s="170">
        <f t="shared" si="110"/>
        <v>0</v>
      </c>
      <c r="U122" s="180">
        <f t="shared" si="105"/>
        <v>0</v>
      </c>
      <c r="V122" s="180">
        <f t="shared" si="106"/>
        <v>24500</v>
      </c>
      <c r="W122" s="180">
        <f t="shared" si="111"/>
        <v>24500</v>
      </c>
    </row>
    <row r="123" spans="2:23" ht="17.5" x14ac:dyDescent="0.35">
      <c r="B123" s="350" t="s">
        <v>414</v>
      </c>
      <c r="C123" s="352" t="s">
        <v>415</v>
      </c>
      <c r="D123" s="351" t="s">
        <v>498</v>
      </c>
      <c r="E123" s="348">
        <v>676200</v>
      </c>
      <c r="F123" s="348">
        <v>676200</v>
      </c>
      <c r="G123" s="348">
        <v>0</v>
      </c>
      <c r="H123" s="348">
        <v>0</v>
      </c>
      <c r="I123" s="348">
        <v>0</v>
      </c>
      <c r="J123" s="348">
        <f>415642.26-399740.41</f>
        <v>15901.850000000035</v>
      </c>
      <c r="K123" s="348">
        <f t="shared" si="107"/>
        <v>0</v>
      </c>
      <c r="L123" s="348">
        <f t="shared" si="113"/>
        <v>0</v>
      </c>
      <c r="M123" s="348">
        <f t="shared" si="102"/>
        <v>15901.850000000035</v>
      </c>
      <c r="N123" s="348">
        <f t="shared" si="112"/>
        <v>660298.14999999991</v>
      </c>
      <c r="O123" s="348">
        <f t="shared" si="108"/>
        <v>0</v>
      </c>
      <c r="P123" s="348">
        <f t="shared" si="114"/>
        <v>0</v>
      </c>
      <c r="Q123" s="348">
        <f t="shared" si="103"/>
        <v>660298.14999999991</v>
      </c>
      <c r="R123" s="348">
        <f t="shared" si="104"/>
        <v>0</v>
      </c>
      <c r="S123" s="348">
        <f t="shared" si="109"/>
        <v>0</v>
      </c>
      <c r="T123" s="348">
        <f t="shared" si="110"/>
        <v>0</v>
      </c>
      <c r="U123" s="349">
        <f t="shared" si="105"/>
        <v>0</v>
      </c>
      <c r="V123" s="349">
        <f t="shared" si="106"/>
        <v>676200</v>
      </c>
      <c r="W123" s="349">
        <f t="shared" si="111"/>
        <v>676200</v>
      </c>
    </row>
    <row r="124" spans="2:23" ht="17.5" x14ac:dyDescent="0.35">
      <c r="B124" s="211" t="s">
        <v>416</v>
      </c>
      <c r="C124" s="215" t="s">
        <v>417</v>
      </c>
      <c r="D124" s="213" t="s">
        <v>443</v>
      </c>
      <c r="E124" s="208">
        <v>500000</v>
      </c>
      <c r="F124" s="208">
        <v>500000</v>
      </c>
      <c r="G124" s="208">
        <v>0</v>
      </c>
      <c r="H124" s="208">
        <v>0</v>
      </c>
      <c r="I124" s="208">
        <v>0</v>
      </c>
      <c r="J124" s="208">
        <v>89895.58</v>
      </c>
      <c r="K124" s="170">
        <f t="shared" si="107"/>
        <v>0</v>
      </c>
      <c r="L124" s="170">
        <f t="shared" si="113"/>
        <v>0</v>
      </c>
      <c r="M124" s="170">
        <f t="shared" si="102"/>
        <v>89895.58</v>
      </c>
      <c r="N124" s="208">
        <f t="shared" si="112"/>
        <v>410104.42</v>
      </c>
      <c r="O124" s="170">
        <f t="shared" si="108"/>
        <v>0</v>
      </c>
      <c r="P124" s="170">
        <f t="shared" si="114"/>
        <v>0</v>
      </c>
      <c r="Q124" s="170">
        <f t="shared" si="103"/>
        <v>410104.42</v>
      </c>
      <c r="R124" s="170">
        <f t="shared" si="104"/>
        <v>0</v>
      </c>
      <c r="S124" s="170">
        <f t="shared" si="109"/>
        <v>0</v>
      </c>
      <c r="T124" s="170">
        <f t="shared" si="110"/>
        <v>0</v>
      </c>
      <c r="U124" s="180">
        <f t="shared" si="105"/>
        <v>0</v>
      </c>
      <c r="V124" s="180">
        <f t="shared" si="106"/>
        <v>500000</v>
      </c>
      <c r="W124" s="180">
        <f t="shared" si="111"/>
        <v>500000</v>
      </c>
    </row>
    <row r="125" spans="2:23" ht="17.5" x14ac:dyDescent="0.35">
      <c r="B125" s="211" t="s">
        <v>418</v>
      </c>
      <c r="C125" s="215" t="s">
        <v>419</v>
      </c>
      <c r="D125" s="213" t="s">
        <v>444</v>
      </c>
      <c r="E125" s="208">
        <v>238000</v>
      </c>
      <c r="F125" s="208">
        <v>238000</v>
      </c>
      <c r="G125" s="208">
        <v>0</v>
      </c>
      <c r="H125" s="208">
        <v>0</v>
      </c>
      <c r="I125" s="208">
        <v>0</v>
      </c>
      <c r="J125" s="208">
        <v>63209.99</v>
      </c>
      <c r="K125" s="170">
        <f t="shared" si="107"/>
        <v>0</v>
      </c>
      <c r="L125" s="170">
        <f t="shared" si="113"/>
        <v>0</v>
      </c>
      <c r="M125" s="170">
        <f t="shared" si="102"/>
        <v>63209.99</v>
      </c>
      <c r="N125" s="208">
        <f t="shared" si="112"/>
        <v>174790.01</v>
      </c>
      <c r="O125" s="170">
        <f t="shared" si="108"/>
        <v>0</v>
      </c>
      <c r="P125" s="170">
        <f t="shared" si="114"/>
        <v>0</v>
      </c>
      <c r="Q125" s="170">
        <f t="shared" si="103"/>
        <v>174790.01</v>
      </c>
      <c r="R125" s="170">
        <f t="shared" si="104"/>
        <v>0</v>
      </c>
      <c r="S125" s="170">
        <f t="shared" si="109"/>
        <v>0</v>
      </c>
      <c r="T125" s="170">
        <f t="shared" si="110"/>
        <v>0</v>
      </c>
      <c r="U125" s="180">
        <f t="shared" si="105"/>
        <v>0</v>
      </c>
      <c r="V125" s="180">
        <f t="shared" si="106"/>
        <v>238000</v>
      </c>
      <c r="W125" s="180">
        <f t="shared" si="111"/>
        <v>238000</v>
      </c>
    </row>
    <row r="126" spans="2:23" ht="17.5" x14ac:dyDescent="0.35">
      <c r="B126" s="214" t="s">
        <v>420</v>
      </c>
      <c r="C126" s="215" t="s">
        <v>421</v>
      </c>
      <c r="D126" s="213" t="s">
        <v>445</v>
      </c>
      <c r="E126" s="208">
        <v>473000</v>
      </c>
      <c r="F126" s="208">
        <v>473000</v>
      </c>
      <c r="G126" s="208">
        <v>0</v>
      </c>
      <c r="H126" s="208">
        <v>0</v>
      </c>
      <c r="I126" s="208">
        <v>0</v>
      </c>
      <c r="J126" s="208">
        <v>87849.27</v>
      </c>
      <c r="K126" s="170">
        <f t="shared" si="107"/>
        <v>0</v>
      </c>
      <c r="L126" s="170">
        <f t="shared" si="113"/>
        <v>0</v>
      </c>
      <c r="M126" s="170">
        <f t="shared" si="102"/>
        <v>87849.27</v>
      </c>
      <c r="N126" s="208">
        <f t="shared" si="112"/>
        <v>385150.73</v>
      </c>
      <c r="O126" s="170">
        <f t="shared" si="108"/>
        <v>0</v>
      </c>
      <c r="P126" s="170">
        <f t="shared" si="114"/>
        <v>0</v>
      </c>
      <c r="Q126" s="170">
        <f t="shared" si="103"/>
        <v>385150.73</v>
      </c>
      <c r="R126" s="170">
        <f t="shared" si="104"/>
        <v>0</v>
      </c>
      <c r="S126" s="170">
        <f t="shared" si="109"/>
        <v>0</v>
      </c>
      <c r="T126" s="170">
        <f t="shared" si="110"/>
        <v>0</v>
      </c>
      <c r="U126" s="180">
        <f t="shared" si="105"/>
        <v>0</v>
      </c>
      <c r="V126" s="180">
        <f t="shared" si="106"/>
        <v>473000</v>
      </c>
      <c r="W126" s="180">
        <f t="shared" si="111"/>
        <v>473000</v>
      </c>
    </row>
    <row r="127" spans="2:23" x14ac:dyDescent="0.35">
      <c r="B127" s="211" t="s">
        <v>422</v>
      </c>
      <c r="C127" s="212" t="s">
        <v>144</v>
      </c>
      <c r="D127" s="213" t="s">
        <v>446</v>
      </c>
      <c r="E127" s="208">
        <v>400000</v>
      </c>
      <c r="F127" s="208">
        <v>400000</v>
      </c>
      <c r="G127" s="208">
        <v>0</v>
      </c>
      <c r="H127" s="208">
        <v>0</v>
      </c>
      <c r="I127" s="208">
        <v>0</v>
      </c>
      <c r="J127" s="208">
        <v>0</v>
      </c>
      <c r="K127" s="170">
        <f t="shared" si="107"/>
        <v>0</v>
      </c>
      <c r="L127" s="170">
        <f t="shared" si="113"/>
        <v>0</v>
      </c>
      <c r="M127" s="170">
        <f t="shared" si="102"/>
        <v>0</v>
      </c>
      <c r="N127" s="208">
        <f t="shared" si="112"/>
        <v>400000</v>
      </c>
      <c r="O127" s="170">
        <f t="shared" si="108"/>
        <v>0</v>
      </c>
      <c r="P127" s="170">
        <f t="shared" si="114"/>
        <v>0</v>
      </c>
      <c r="Q127" s="170">
        <f t="shared" si="103"/>
        <v>400000</v>
      </c>
      <c r="R127" s="170">
        <f t="shared" si="104"/>
        <v>0</v>
      </c>
      <c r="S127" s="170">
        <f t="shared" si="109"/>
        <v>0</v>
      </c>
      <c r="T127" s="170">
        <f t="shared" si="110"/>
        <v>0</v>
      </c>
      <c r="U127" s="180">
        <f t="shared" si="105"/>
        <v>0</v>
      </c>
      <c r="V127" s="180">
        <f t="shared" si="106"/>
        <v>400000</v>
      </c>
      <c r="W127" s="180">
        <f t="shared" si="111"/>
        <v>400000</v>
      </c>
    </row>
    <row r="128" spans="2:23" x14ac:dyDescent="0.35">
      <c r="B128" s="211" t="s">
        <v>423</v>
      </c>
      <c r="C128" s="212" t="s">
        <v>144</v>
      </c>
      <c r="D128" s="213" t="s">
        <v>447</v>
      </c>
      <c r="E128" s="208">
        <v>487091</v>
      </c>
      <c r="F128" s="208">
        <v>487091</v>
      </c>
      <c r="G128" s="208">
        <v>0</v>
      </c>
      <c r="H128" s="208">
        <v>0</v>
      </c>
      <c r="I128" s="208">
        <v>0</v>
      </c>
      <c r="J128" s="208">
        <v>67975.490000000005</v>
      </c>
      <c r="K128" s="170">
        <f t="shared" si="107"/>
        <v>0</v>
      </c>
      <c r="L128" s="170">
        <f t="shared" si="113"/>
        <v>0</v>
      </c>
      <c r="M128" s="170">
        <f t="shared" si="102"/>
        <v>67975.490000000005</v>
      </c>
      <c r="N128" s="208">
        <f t="shared" si="112"/>
        <v>419115.51</v>
      </c>
      <c r="O128" s="170">
        <f t="shared" si="108"/>
        <v>0</v>
      </c>
      <c r="P128" s="170">
        <f t="shared" si="114"/>
        <v>0</v>
      </c>
      <c r="Q128" s="170">
        <f t="shared" si="103"/>
        <v>419115.51</v>
      </c>
      <c r="R128" s="170">
        <f t="shared" si="104"/>
        <v>0</v>
      </c>
      <c r="S128" s="170">
        <f t="shared" si="109"/>
        <v>0</v>
      </c>
      <c r="T128" s="170">
        <f t="shared" si="110"/>
        <v>0</v>
      </c>
      <c r="U128" s="180">
        <f t="shared" si="105"/>
        <v>0</v>
      </c>
      <c r="V128" s="180">
        <f t="shared" si="106"/>
        <v>487091</v>
      </c>
      <c r="W128" s="180">
        <f t="shared" si="111"/>
        <v>487091</v>
      </c>
    </row>
    <row r="129" spans="2:23" x14ac:dyDescent="0.35">
      <c r="B129" s="211" t="s">
        <v>424</v>
      </c>
      <c r="C129" s="212" t="s">
        <v>144</v>
      </c>
      <c r="D129" s="213" t="s">
        <v>448</v>
      </c>
      <c r="E129" s="208">
        <v>1900000</v>
      </c>
      <c r="F129" s="208">
        <v>1900000</v>
      </c>
      <c r="G129" s="208">
        <v>0</v>
      </c>
      <c r="H129" s="208">
        <v>0</v>
      </c>
      <c r="I129" s="208">
        <v>0</v>
      </c>
      <c r="J129" s="208">
        <v>105077</v>
      </c>
      <c r="K129" s="170">
        <f t="shared" si="107"/>
        <v>0</v>
      </c>
      <c r="L129" s="170">
        <f t="shared" si="113"/>
        <v>0</v>
      </c>
      <c r="M129" s="170">
        <f t="shared" si="102"/>
        <v>105077</v>
      </c>
      <c r="N129" s="208">
        <f t="shared" si="112"/>
        <v>1794923</v>
      </c>
      <c r="O129" s="170">
        <f t="shared" si="108"/>
        <v>0</v>
      </c>
      <c r="P129" s="170">
        <f t="shared" si="114"/>
        <v>0</v>
      </c>
      <c r="Q129" s="170">
        <f t="shared" si="103"/>
        <v>1794923</v>
      </c>
      <c r="R129" s="170">
        <f t="shared" si="104"/>
        <v>0</v>
      </c>
      <c r="S129" s="170">
        <f t="shared" si="109"/>
        <v>0</v>
      </c>
      <c r="T129" s="170">
        <f t="shared" si="110"/>
        <v>0</v>
      </c>
      <c r="U129" s="180">
        <f t="shared" si="105"/>
        <v>0</v>
      </c>
      <c r="V129" s="180">
        <f t="shared" si="106"/>
        <v>1900000</v>
      </c>
      <c r="W129" s="180">
        <f t="shared" si="111"/>
        <v>1900000</v>
      </c>
    </row>
    <row r="130" spans="2:23" x14ac:dyDescent="0.35">
      <c r="B130" s="211" t="s">
        <v>425</v>
      </c>
      <c r="C130" s="212" t="s">
        <v>144</v>
      </c>
      <c r="D130" s="213" t="s">
        <v>449</v>
      </c>
      <c r="E130" s="208">
        <v>366436.22</v>
      </c>
      <c r="F130" s="208">
        <v>366436.22</v>
      </c>
      <c r="G130" s="208">
        <v>0</v>
      </c>
      <c r="H130" s="208">
        <v>0</v>
      </c>
      <c r="I130" s="208">
        <v>0</v>
      </c>
      <c r="J130" s="208">
        <v>265060.59999999998</v>
      </c>
      <c r="K130" s="170">
        <f t="shared" si="107"/>
        <v>0</v>
      </c>
      <c r="L130" s="170">
        <f t="shared" si="113"/>
        <v>0</v>
      </c>
      <c r="M130" s="170">
        <f t="shared" si="102"/>
        <v>265060.59999999998</v>
      </c>
      <c r="N130" s="208">
        <f t="shared" si="112"/>
        <v>101375.62</v>
      </c>
      <c r="O130" s="170">
        <f t="shared" si="108"/>
        <v>0</v>
      </c>
      <c r="P130" s="170">
        <f t="shared" si="114"/>
        <v>0</v>
      </c>
      <c r="Q130" s="170">
        <f t="shared" si="103"/>
        <v>101375.62</v>
      </c>
      <c r="R130" s="170">
        <f t="shared" si="104"/>
        <v>0</v>
      </c>
      <c r="S130" s="170">
        <f t="shared" si="109"/>
        <v>0</v>
      </c>
      <c r="T130" s="170">
        <f t="shared" si="110"/>
        <v>0</v>
      </c>
      <c r="U130" s="180">
        <f t="shared" si="105"/>
        <v>0</v>
      </c>
      <c r="V130" s="180">
        <f t="shared" si="106"/>
        <v>366436.22</v>
      </c>
      <c r="W130" s="180">
        <f t="shared" si="111"/>
        <v>366436.22</v>
      </c>
    </row>
    <row r="131" spans="2:23" x14ac:dyDescent="0.35">
      <c r="B131" s="211" t="s">
        <v>426</v>
      </c>
      <c r="C131" s="212" t="s">
        <v>144</v>
      </c>
      <c r="D131" s="213" t="s">
        <v>354</v>
      </c>
      <c r="E131" s="208">
        <v>800000</v>
      </c>
      <c r="F131" s="208">
        <v>800000</v>
      </c>
      <c r="G131" s="208">
        <v>0</v>
      </c>
      <c r="H131" s="208">
        <v>0</v>
      </c>
      <c r="I131" s="208">
        <v>0</v>
      </c>
      <c r="J131" s="208">
        <v>0</v>
      </c>
      <c r="K131" s="170">
        <f t="shared" si="107"/>
        <v>0</v>
      </c>
      <c r="L131" s="170">
        <f t="shared" si="113"/>
        <v>0</v>
      </c>
      <c r="M131" s="170">
        <f t="shared" si="102"/>
        <v>0</v>
      </c>
      <c r="N131" s="208">
        <f t="shared" si="112"/>
        <v>800000</v>
      </c>
      <c r="O131" s="170">
        <f t="shared" si="108"/>
        <v>0</v>
      </c>
      <c r="P131" s="170">
        <f t="shared" si="114"/>
        <v>0</v>
      </c>
      <c r="Q131" s="170">
        <f t="shared" si="103"/>
        <v>800000</v>
      </c>
      <c r="R131" s="170">
        <f t="shared" si="104"/>
        <v>0</v>
      </c>
      <c r="S131" s="170">
        <f t="shared" si="109"/>
        <v>0</v>
      </c>
      <c r="T131" s="170">
        <f t="shared" si="110"/>
        <v>0</v>
      </c>
      <c r="U131" s="180">
        <f t="shared" si="105"/>
        <v>0</v>
      </c>
      <c r="V131" s="180">
        <f t="shared" si="106"/>
        <v>800000</v>
      </c>
      <c r="W131" s="180">
        <f t="shared" si="111"/>
        <v>800000</v>
      </c>
    </row>
    <row r="132" spans="2:23" x14ac:dyDescent="0.35">
      <c r="B132" s="211" t="s">
        <v>427</v>
      </c>
      <c r="C132" s="212" t="s">
        <v>144</v>
      </c>
      <c r="D132" s="213" t="s">
        <v>450</v>
      </c>
      <c r="E132" s="208">
        <v>320000</v>
      </c>
      <c r="F132" s="208">
        <v>320000</v>
      </c>
      <c r="G132" s="208">
        <v>0</v>
      </c>
      <c r="H132" s="208">
        <v>0</v>
      </c>
      <c r="I132" s="208">
        <v>0</v>
      </c>
      <c r="J132" s="208">
        <v>0</v>
      </c>
      <c r="K132" s="170">
        <f t="shared" si="107"/>
        <v>0</v>
      </c>
      <c r="L132" s="170">
        <f t="shared" si="113"/>
        <v>0</v>
      </c>
      <c r="M132" s="170">
        <f t="shared" si="102"/>
        <v>0</v>
      </c>
      <c r="N132" s="208">
        <f t="shared" si="112"/>
        <v>320000</v>
      </c>
      <c r="O132" s="170">
        <f t="shared" si="108"/>
        <v>0</v>
      </c>
      <c r="P132" s="170">
        <f t="shared" si="114"/>
        <v>0</v>
      </c>
      <c r="Q132" s="170">
        <f t="shared" si="103"/>
        <v>320000</v>
      </c>
      <c r="R132" s="170">
        <f t="shared" si="104"/>
        <v>0</v>
      </c>
      <c r="S132" s="170">
        <f t="shared" si="109"/>
        <v>0</v>
      </c>
      <c r="T132" s="170">
        <f t="shared" si="110"/>
        <v>0</v>
      </c>
      <c r="U132" s="180">
        <f t="shared" si="105"/>
        <v>0</v>
      </c>
      <c r="V132" s="180">
        <f t="shared" si="106"/>
        <v>320000</v>
      </c>
      <c r="W132" s="180">
        <f t="shared" si="111"/>
        <v>320000</v>
      </c>
    </row>
    <row r="133" spans="2:23" x14ac:dyDescent="0.35">
      <c r="B133" s="211" t="s">
        <v>428</v>
      </c>
      <c r="C133" s="212" t="s">
        <v>144</v>
      </c>
      <c r="D133" s="213" t="s">
        <v>451</v>
      </c>
      <c r="E133" s="208">
        <v>342674.55</v>
      </c>
      <c r="F133" s="208">
        <v>342674.55</v>
      </c>
      <c r="G133" s="208">
        <v>0</v>
      </c>
      <c r="H133" s="208">
        <v>0</v>
      </c>
      <c r="I133" s="208">
        <v>0</v>
      </c>
      <c r="J133" s="208">
        <v>0</v>
      </c>
      <c r="K133" s="170">
        <f t="shared" si="107"/>
        <v>0</v>
      </c>
      <c r="L133" s="170">
        <f t="shared" si="113"/>
        <v>0</v>
      </c>
      <c r="M133" s="170">
        <f t="shared" si="102"/>
        <v>0</v>
      </c>
      <c r="N133" s="208">
        <f t="shared" si="112"/>
        <v>342674.55</v>
      </c>
      <c r="O133" s="170">
        <f t="shared" si="108"/>
        <v>0</v>
      </c>
      <c r="P133" s="170">
        <f t="shared" si="114"/>
        <v>0</v>
      </c>
      <c r="Q133" s="170">
        <f t="shared" si="103"/>
        <v>342674.55</v>
      </c>
      <c r="R133" s="170">
        <f t="shared" si="104"/>
        <v>0</v>
      </c>
      <c r="S133" s="170">
        <f t="shared" si="109"/>
        <v>0</v>
      </c>
      <c r="T133" s="170">
        <f t="shared" si="110"/>
        <v>0</v>
      </c>
      <c r="U133" s="180">
        <f t="shared" si="105"/>
        <v>0</v>
      </c>
      <c r="V133" s="180">
        <f t="shared" si="106"/>
        <v>342674.55</v>
      </c>
      <c r="W133" s="180">
        <f t="shared" si="111"/>
        <v>342674.55</v>
      </c>
    </row>
    <row r="134" spans="2:23" x14ac:dyDescent="0.35">
      <c r="B134" s="211" t="s">
        <v>429</v>
      </c>
      <c r="C134" s="212" t="s">
        <v>144</v>
      </c>
      <c r="D134" s="213" t="s">
        <v>452</v>
      </c>
      <c r="E134" s="208">
        <v>435844.88</v>
      </c>
      <c r="F134" s="208">
        <v>435844.88</v>
      </c>
      <c r="G134" s="208">
        <v>0</v>
      </c>
      <c r="H134" s="208">
        <v>0</v>
      </c>
      <c r="I134" s="208">
        <v>0</v>
      </c>
      <c r="J134" s="208">
        <v>119742.82</v>
      </c>
      <c r="K134" s="170">
        <f t="shared" si="107"/>
        <v>0</v>
      </c>
      <c r="L134" s="170">
        <f t="shared" si="113"/>
        <v>0</v>
      </c>
      <c r="M134" s="170">
        <f t="shared" si="102"/>
        <v>119742.82</v>
      </c>
      <c r="N134" s="208">
        <f t="shared" si="112"/>
        <v>316102.06</v>
      </c>
      <c r="O134" s="170">
        <f t="shared" si="108"/>
        <v>0</v>
      </c>
      <c r="P134" s="170">
        <f t="shared" si="114"/>
        <v>0</v>
      </c>
      <c r="Q134" s="170">
        <f t="shared" si="103"/>
        <v>316102.06</v>
      </c>
      <c r="R134" s="170">
        <f t="shared" si="104"/>
        <v>0</v>
      </c>
      <c r="S134" s="170">
        <f t="shared" si="109"/>
        <v>0</v>
      </c>
      <c r="T134" s="170">
        <f t="shared" si="110"/>
        <v>0</v>
      </c>
      <c r="U134" s="180">
        <f t="shared" si="105"/>
        <v>0</v>
      </c>
      <c r="V134" s="180">
        <f t="shared" si="106"/>
        <v>435844.88</v>
      </c>
      <c r="W134" s="180">
        <f t="shared" si="111"/>
        <v>435844.88</v>
      </c>
    </row>
    <row r="135" spans="2:23" x14ac:dyDescent="0.35">
      <c r="B135" s="350" t="s">
        <v>430</v>
      </c>
      <c r="C135" s="346" t="s">
        <v>144</v>
      </c>
      <c r="D135" s="351" t="s">
        <v>499</v>
      </c>
      <c r="E135" s="348">
        <v>2900000</v>
      </c>
      <c r="F135" s="348">
        <v>2900000</v>
      </c>
      <c r="G135" s="348">
        <v>0</v>
      </c>
      <c r="H135" s="348">
        <v>0</v>
      </c>
      <c r="I135" s="348">
        <v>0</v>
      </c>
      <c r="J135" s="348">
        <f>-40553.02+552513.27+399740.41</f>
        <v>911700.65999999992</v>
      </c>
      <c r="K135" s="348">
        <f t="shared" si="107"/>
        <v>0</v>
      </c>
      <c r="L135" s="348">
        <f t="shared" si="113"/>
        <v>0</v>
      </c>
      <c r="M135" s="348">
        <f t="shared" si="102"/>
        <v>911700.65999999992</v>
      </c>
      <c r="N135" s="348">
        <f t="shared" si="112"/>
        <v>1988299.34</v>
      </c>
      <c r="O135" s="348">
        <f t="shared" si="108"/>
        <v>0</v>
      </c>
      <c r="P135" s="348">
        <f t="shared" si="114"/>
        <v>0</v>
      </c>
      <c r="Q135" s="348">
        <f t="shared" si="103"/>
        <v>1988299.34</v>
      </c>
      <c r="R135" s="348">
        <f t="shared" si="104"/>
        <v>0</v>
      </c>
      <c r="S135" s="348">
        <f t="shared" si="109"/>
        <v>0</v>
      </c>
      <c r="T135" s="348">
        <f t="shared" si="110"/>
        <v>0</v>
      </c>
      <c r="U135" s="349">
        <f t="shared" si="105"/>
        <v>0</v>
      </c>
      <c r="V135" s="349">
        <f t="shared" si="106"/>
        <v>2900000</v>
      </c>
      <c r="W135" s="349">
        <f t="shared" si="111"/>
        <v>2900000</v>
      </c>
    </row>
    <row r="136" spans="2:23" x14ac:dyDescent="0.35">
      <c r="B136" s="211" t="s">
        <v>431</v>
      </c>
      <c r="C136" s="212" t="s">
        <v>144</v>
      </c>
      <c r="D136" s="213" t="s">
        <v>453</v>
      </c>
      <c r="E136" s="208">
        <v>130000</v>
      </c>
      <c r="F136" s="208">
        <v>130000</v>
      </c>
      <c r="G136" s="208">
        <v>0</v>
      </c>
      <c r="H136" s="208">
        <v>0</v>
      </c>
      <c r="I136" s="208">
        <v>0</v>
      </c>
      <c r="J136" s="208">
        <v>0</v>
      </c>
      <c r="K136" s="170">
        <f t="shared" si="107"/>
        <v>0</v>
      </c>
      <c r="L136" s="170">
        <f t="shared" si="113"/>
        <v>0</v>
      </c>
      <c r="M136" s="170">
        <f t="shared" si="102"/>
        <v>0</v>
      </c>
      <c r="N136" s="208">
        <f t="shared" si="112"/>
        <v>130000</v>
      </c>
      <c r="O136" s="170">
        <f t="shared" si="108"/>
        <v>0</v>
      </c>
      <c r="P136" s="170">
        <f t="shared" si="114"/>
        <v>0</v>
      </c>
      <c r="Q136" s="170">
        <f t="shared" si="103"/>
        <v>130000</v>
      </c>
      <c r="R136" s="170">
        <f t="shared" si="104"/>
        <v>0</v>
      </c>
      <c r="S136" s="170">
        <f t="shared" si="109"/>
        <v>0</v>
      </c>
      <c r="T136" s="170">
        <f t="shared" si="110"/>
        <v>0</v>
      </c>
      <c r="U136" s="180">
        <f t="shared" si="105"/>
        <v>0</v>
      </c>
      <c r="V136" s="180">
        <f t="shared" si="106"/>
        <v>130000</v>
      </c>
      <c r="W136" s="180">
        <f t="shared" si="111"/>
        <v>130000</v>
      </c>
    </row>
    <row r="137" spans="2:23" x14ac:dyDescent="0.35">
      <c r="B137" s="211" t="s">
        <v>432</v>
      </c>
      <c r="C137" s="212" t="s">
        <v>144</v>
      </c>
      <c r="D137" s="213" t="s">
        <v>454</v>
      </c>
      <c r="E137" s="208">
        <v>535000</v>
      </c>
      <c r="F137" s="208">
        <v>535000</v>
      </c>
      <c r="G137" s="208">
        <v>0</v>
      </c>
      <c r="H137" s="208">
        <v>0</v>
      </c>
      <c r="I137" s="208">
        <v>0</v>
      </c>
      <c r="J137" s="208">
        <v>0</v>
      </c>
      <c r="K137" s="170">
        <f t="shared" si="107"/>
        <v>0</v>
      </c>
      <c r="L137" s="170">
        <f t="shared" si="113"/>
        <v>0</v>
      </c>
      <c r="M137" s="170">
        <f t="shared" si="102"/>
        <v>0</v>
      </c>
      <c r="N137" s="208">
        <f t="shared" si="112"/>
        <v>535000</v>
      </c>
      <c r="O137" s="170">
        <f t="shared" si="108"/>
        <v>0</v>
      </c>
      <c r="P137" s="170">
        <f t="shared" si="114"/>
        <v>0</v>
      </c>
      <c r="Q137" s="170">
        <f t="shared" si="103"/>
        <v>535000</v>
      </c>
      <c r="R137" s="170">
        <f t="shared" si="104"/>
        <v>0</v>
      </c>
      <c r="S137" s="170">
        <f t="shared" si="109"/>
        <v>0</v>
      </c>
      <c r="T137" s="170">
        <f t="shared" si="110"/>
        <v>0</v>
      </c>
      <c r="U137" s="180">
        <f t="shared" si="105"/>
        <v>0</v>
      </c>
      <c r="V137" s="180">
        <f t="shared" si="106"/>
        <v>535000</v>
      </c>
      <c r="W137" s="180">
        <f t="shared" si="111"/>
        <v>535000</v>
      </c>
    </row>
    <row r="138" spans="2:23" x14ac:dyDescent="0.35">
      <c r="B138" s="211" t="s">
        <v>433</v>
      </c>
      <c r="C138" s="212" t="s">
        <v>144</v>
      </c>
      <c r="D138" s="213" t="s">
        <v>455</v>
      </c>
      <c r="E138" s="208">
        <v>400000</v>
      </c>
      <c r="F138" s="208">
        <v>400000</v>
      </c>
      <c r="G138" s="208">
        <v>0</v>
      </c>
      <c r="H138" s="208">
        <v>0</v>
      </c>
      <c r="I138" s="208">
        <v>0</v>
      </c>
      <c r="J138" s="208">
        <v>1195.3499999999999</v>
      </c>
      <c r="K138" s="170">
        <f t="shared" si="107"/>
        <v>0</v>
      </c>
      <c r="L138" s="170">
        <f t="shared" si="113"/>
        <v>0</v>
      </c>
      <c r="M138" s="170">
        <f t="shared" si="102"/>
        <v>1195.3499999999999</v>
      </c>
      <c r="N138" s="208">
        <f t="shared" si="112"/>
        <v>398804.65</v>
      </c>
      <c r="O138" s="170">
        <f t="shared" si="108"/>
        <v>0</v>
      </c>
      <c r="P138" s="170">
        <f t="shared" si="114"/>
        <v>0</v>
      </c>
      <c r="Q138" s="170">
        <f t="shared" si="103"/>
        <v>398804.65</v>
      </c>
      <c r="R138" s="170">
        <f t="shared" si="104"/>
        <v>0</v>
      </c>
      <c r="S138" s="170">
        <f t="shared" si="109"/>
        <v>0</v>
      </c>
      <c r="T138" s="170">
        <f t="shared" si="110"/>
        <v>0</v>
      </c>
      <c r="U138" s="180">
        <f t="shared" si="105"/>
        <v>0</v>
      </c>
      <c r="V138" s="180">
        <f t="shared" si="106"/>
        <v>400000</v>
      </c>
      <c r="W138" s="180">
        <f t="shared" si="111"/>
        <v>400000</v>
      </c>
    </row>
    <row r="139" spans="2:23" x14ac:dyDescent="0.35">
      <c r="B139" s="211" t="s">
        <v>434</v>
      </c>
      <c r="C139" s="212" t="s">
        <v>144</v>
      </c>
      <c r="D139" s="213" t="s">
        <v>458</v>
      </c>
      <c r="E139" s="208">
        <v>270000</v>
      </c>
      <c r="F139" s="208">
        <v>270000</v>
      </c>
      <c r="G139" s="208">
        <v>0</v>
      </c>
      <c r="H139" s="208">
        <v>0</v>
      </c>
      <c r="I139" s="208">
        <v>0</v>
      </c>
      <c r="J139" s="208">
        <v>0</v>
      </c>
      <c r="K139" s="170">
        <f t="shared" si="107"/>
        <v>0</v>
      </c>
      <c r="L139" s="170">
        <f t="shared" si="113"/>
        <v>0</v>
      </c>
      <c r="M139" s="170">
        <f t="shared" si="102"/>
        <v>0</v>
      </c>
      <c r="N139" s="208">
        <f t="shared" si="112"/>
        <v>270000</v>
      </c>
      <c r="O139" s="170">
        <f t="shared" si="108"/>
        <v>0</v>
      </c>
      <c r="P139" s="170">
        <f t="shared" si="114"/>
        <v>0</v>
      </c>
      <c r="Q139" s="170">
        <f t="shared" si="103"/>
        <v>270000</v>
      </c>
      <c r="R139" s="170">
        <f t="shared" si="104"/>
        <v>0</v>
      </c>
      <c r="S139" s="170">
        <f t="shared" si="109"/>
        <v>0</v>
      </c>
      <c r="T139" s="170">
        <f t="shared" si="110"/>
        <v>0</v>
      </c>
      <c r="U139" s="180">
        <f t="shared" si="105"/>
        <v>0</v>
      </c>
      <c r="V139" s="180">
        <f t="shared" si="106"/>
        <v>270000</v>
      </c>
      <c r="W139" s="180">
        <f t="shared" si="111"/>
        <v>270000</v>
      </c>
    </row>
    <row r="140" spans="2:23" ht="17.5" x14ac:dyDescent="0.35">
      <c r="B140" s="214" t="s">
        <v>435</v>
      </c>
      <c r="C140" s="215" t="s">
        <v>436</v>
      </c>
      <c r="D140" s="213" t="s">
        <v>456</v>
      </c>
      <c r="E140" s="208">
        <v>400000</v>
      </c>
      <c r="F140" s="208">
        <v>400000</v>
      </c>
      <c r="G140" s="208">
        <v>0</v>
      </c>
      <c r="H140" s="208">
        <v>0</v>
      </c>
      <c r="I140" s="208">
        <v>0</v>
      </c>
      <c r="J140" s="208">
        <v>21491.040000000001</v>
      </c>
      <c r="K140" s="170">
        <f t="shared" si="107"/>
        <v>0</v>
      </c>
      <c r="L140" s="170">
        <f t="shared" si="113"/>
        <v>0</v>
      </c>
      <c r="M140" s="170">
        <f t="shared" si="102"/>
        <v>21491.040000000001</v>
      </c>
      <c r="N140" s="208">
        <f t="shared" si="112"/>
        <v>378508.96</v>
      </c>
      <c r="O140" s="170">
        <f t="shared" si="108"/>
        <v>0</v>
      </c>
      <c r="P140" s="170">
        <f t="shared" si="114"/>
        <v>0</v>
      </c>
      <c r="Q140" s="170">
        <f t="shared" si="103"/>
        <v>378508.96</v>
      </c>
      <c r="R140" s="170">
        <f t="shared" si="104"/>
        <v>0</v>
      </c>
      <c r="S140" s="170">
        <f t="shared" si="109"/>
        <v>0</v>
      </c>
      <c r="T140" s="170">
        <f t="shared" si="110"/>
        <v>0</v>
      </c>
      <c r="U140" s="180">
        <f t="shared" si="105"/>
        <v>0</v>
      </c>
      <c r="V140" s="180">
        <f t="shared" si="106"/>
        <v>400000</v>
      </c>
      <c r="W140" s="180">
        <f t="shared" si="111"/>
        <v>400000</v>
      </c>
    </row>
    <row r="141" spans="2:23" x14ac:dyDescent="0.35">
      <c r="B141" s="218"/>
      <c r="C141" s="135"/>
      <c r="D141" s="138"/>
      <c r="E141" s="169"/>
      <c r="F141" s="169"/>
      <c r="G141" s="169"/>
      <c r="H141" s="169"/>
      <c r="I141" s="169"/>
      <c r="J141" s="208"/>
      <c r="K141" s="166"/>
      <c r="L141" s="166"/>
      <c r="M141" s="166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</row>
    <row r="142" spans="2:23" x14ac:dyDescent="0.35">
      <c r="B142" s="163"/>
      <c r="C142" s="186" t="s">
        <v>144</v>
      </c>
      <c r="D142" s="187" t="s">
        <v>351</v>
      </c>
      <c r="E142" s="225">
        <f>SUM(E143:E172)</f>
        <v>110378113.05000001</v>
      </c>
      <c r="F142" s="225">
        <f t="shared" ref="F142:W142" si="115">SUM(F143:F172)</f>
        <v>65238488.215000004</v>
      </c>
      <c r="G142" s="225">
        <f t="shared" si="115"/>
        <v>2719790.13</v>
      </c>
      <c r="H142" s="225">
        <f t="shared" si="115"/>
        <v>42419834.919999994</v>
      </c>
      <c r="I142" s="225">
        <f t="shared" si="115"/>
        <v>0</v>
      </c>
      <c r="J142" s="225">
        <f t="shared" si="115"/>
        <v>58894491.779999994</v>
      </c>
      <c r="K142" s="185">
        <f t="shared" si="115"/>
        <v>814432.01</v>
      </c>
      <c r="L142" s="185">
        <f t="shared" si="115"/>
        <v>21820302.830000002</v>
      </c>
      <c r="M142" s="185">
        <f t="shared" si="115"/>
        <v>36259756.939999998</v>
      </c>
      <c r="N142" s="185">
        <f t="shared" si="115"/>
        <v>51483621.179999992</v>
      </c>
      <c r="O142" s="185">
        <f t="shared" si="115"/>
        <v>1905358.12</v>
      </c>
      <c r="P142" s="185">
        <f t="shared" si="115"/>
        <v>20988437.219999999</v>
      </c>
      <c r="Q142" s="185">
        <f t="shared" si="115"/>
        <v>28589825.84</v>
      </c>
      <c r="R142" s="185">
        <f t="shared" si="115"/>
        <v>0.3050000024959445</v>
      </c>
      <c r="S142" s="185">
        <f t="shared" si="115"/>
        <v>0</v>
      </c>
      <c r="T142" s="185">
        <f t="shared" si="115"/>
        <v>-388905.13</v>
      </c>
      <c r="U142" s="185">
        <f t="shared" si="115"/>
        <v>388905.43500000262</v>
      </c>
      <c r="V142" s="185">
        <f t="shared" si="115"/>
        <v>64849582.780000001</v>
      </c>
      <c r="W142" s="185">
        <f t="shared" si="115"/>
        <v>110378112.95999999</v>
      </c>
    </row>
    <row r="143" spans="2:23" x14ac:dyDescent="0.35">
      <c r="B143" s="163">
        <v>108001</v>
      </c>
      <c r="C143" s="135" t="s">
        <v>144</v>
      </c>
      <c r="D143" s="138" t="s">
        <v>497</v>
      </c>
      <c r="E143" s="208">
        <v>2416593.87</v>
      </c>
      <c r="F143" s="208">
        <v>0</v>
      </c>
      <c r="G143" s="208">
        <v>2416593.87</v>
      </c>
      <c r="H143" s="208">
        <v>0</v>
      </c>
      <c r="I143" s="208">
        <v>0</v>
      </c>
      <c r="J143" s="208">
        <v>511235.75</v>
      </c>
      <c r="K143" s="170">
        <f t="shared" ref="K143:K171" si="116">IF(AND(G143&gt;0, J143&gt;0), MIN(J143, G143), 0)</f>
        <v>511235.75</v>
      </c>
      <c r="L143" s="170">
        <f t="shared" ref="L143:L171" si="117">IF(AND(H143&gt;0, J143&gt;0), MIN(H143, J143 - K143), 0)</f>
        <v>0</v>
      </c>
      <c r="M143" s="170">
        <f t="shared" ref="M143:M171" si="118">IF(J143&lt;0, J143, MAX(0, J143 - K143 - L143))</f>
        <v>0</v>
      </c>
      <c r="N143" s="208">
        <f>E143-J143</f>
        <v>1905358.12</v>
      </c>
      <c r="O143" s="170">
        <f t="shared" ref="O143:O171" si="119">IF(N143&gt;0, MIN(N143, MAX(0, G143 - K143)), 0)</f>
        <v>1905358.12</v>
      </c>
      <c r="P143" s="170">
        <f t="shared" ref="P143:P171" si="120">IF((N143-O143)&gt;0, MIN((N143-O143), MAX(0, (H143-O143) - (L143-O143))), 0)</f>
        <v>0</v>
      </c>
      <c r="Q143" s="180">
        <f t="shared" ref="Q143:Q171" si="121">N143-O143-P143</f>
        <v>0</v>
      </c>
      <c r="R143" s="170">
        <f t="shared" ref="R143" si="122">SUM(S143:U143)</f>
        <v>0</v>
      </c>
      <c r="S143" s="170">
        <f t="shared" ref="S143" si="123">G143-K143-O143</f>
        <v>0</v>
      </c>
      <c r="T143" s="170">
        <f t="shared" ref="T143" si="124">H143-L143-P143</f>
        <v>0</v>
      </c>
      <c r="U143" s="180">
        <f t="shared" ref="U143:U171" si="125">F143+I143-M143-Q143</f>
        <v>0</v>
      </c>
      <c r="V143" s="180">
        <f t="shared" ref="V143:V171" si="126">M143+Q143</f>
        <v>0</v>
      </c>
      <c r="W143" s="180">
        <f t="shared" ref="W143:W171" si="127">J143+N143</f>
        <v>2416593.87</v>
      </c>
    </row>
    <row r="144" spans="2:23" x14ac:dyDescent="0.35">
      <c r="B144" s="163">
        <v>108102</v>
      </c>
      <c r="C144" s="135" t="s">
        <v>144</v>
      </c>
      <c r="D144" s="138" t="s">
        <v>338</v>
      </c>
      <c r="E144" s="208">
        <v>0</v>
      </c>
      <c r="F144" s="208">
        <v>0</v>
      </c>
      <c r="G144" s="208">
        <v>0</v>
      </c>
      <c r="H144" s="208">
        <v>0</v>
      </c>
      <c r="I144" s="208">
        <v>0</v>
      </c>
      <c r="J144" s="208">
        <v>0</v>
      </c>
      <c r="K144" s="170">
        <f t="shared" si="116"/>
        <v>0</v>
      </c>
      <c r="L144" s="170">
        <f t="shared" si="117"/>
        <v>0</v>
      </c>
      <c r="M144" s="170">
        <f t="shared" si="118"/>
        <v>0</v>
      </c>
      <c r="N144" s="208">
        <f t="shared" ref="N144:N171" si="128">E144-J144</f>
        <v>0</v>
      </c>
      <c r="O144" s="170">
        <f t="shared" si="119"/>
        <v>0</v>
      </c>
      <c r="P144" s="170">
        <f t="shared" si="120"/>
        <v>0</v>
      </c>
      <c r="Q144" s="180">
        <f t="shared" si="121"/>
        <v>0</v>
      </c>
      <c r="R144" s="170">
        <f t="shared" ref="R144:R171" si="129">SUM(S144:U144)</f>
        <v>0</v>
      </c>
      <c r="S144" s="170">
        <f t="shared" ref="S144:S171" si="130">G144-K144-O144</f>
        <v>0</v>
      </c>
      <c r="T144" s="170">
        <f t="shared" ref="T144:T171" si="131">H144-L144-P144</f>
        <v>0</v>
      </c>
      <c r="U144" s="180">
        <f t="shared" si="125"/>
        <v>0</v>
      </c>
      <c r="V144" s="180">
        <f t="shared" si="126"/>
        <v>0</v>
      </c>
      <c r="W144" s="180">
        <f t="shared" si="127"/>
        <v>0</v>
      </c>
    </row>
    <row r="145" spans="2:23" x14ac:dyDescent="0.35">
      <c r="B145" s="163">
        <v>108101</v>
      </c>
      <c r="C145" s="135" t="s">
        <v>144</v>
      </c>
      <c r="D145" s="138" t="s">
        <v>336</v>
      </c>
      <c r="E145" s="208">
        <v>27677533.129999999</v>
      </c>
      <c r="F145" s="208">
        <v>26105755.335000001</v>
      </c>
      <c r="G145" s="208">
        <v>0</v>
      </c>
      <c r="H145" s="208">
        <f>1571778.01</f>
        <v>1571778.01</v>
      </c>
      <c r="I145" s="208">
        <v>0</v>
      </c>
      <c r="J145" s="208">
        <v>0</v>
      </c>
      <c r="K145" s="170">
        <f t="shared" si="116"/>
        <v>0</v>
      </c>
      <c r="L145" s="170">
        <f t="shared" si="117"/>
        <v>0</v>
      </c>
      <c r="M145" s="170">
        <f t="shared" si="118"/>
        <v>0</v>
      </c>
      <c r="N145" s="208">
        <f>(E145-J145)-4278468.88</f>
        <v>23399064.25</v>
      </c>
      <c r="O145" s="170">
        <f t="shared" si="119"/>
        <v>0</v>
      </c>
      <c r="P145" s="170">
        <f t="shared" si="120"/>
        <v>1571778.01</v>
      </c>
      <c r="Q145" s="180">
        <f t="shared" si="121"/>
        <v>21827286.239999998</v>
      </c>
      <c r="R145" s="170">
        <f t="shared" si="129"/>
        <v>4278469.0950000025</v>
      </c>
      <c r="S145" s="170">
        <f t="shared" si="130"/>
        <v>0</v>
      </c>
      <c r="T145" s="170">
        <f t="shared" si="131"/>
        <v>0</v>
      </c>
      <c r="U145" s="180">
        <f t="shared" si="125"/>
        <v>4278469.0950000025</v>
      </c>
      <c r="V145" s="180">
        <f t="shared" si="126"/>
        <v>21827286.239999998</v>
      </c>
      <c r="W145" s="180">
        <f t="shared" si="127"/>
        <v>23399064.25</v>
      </c>
    </row>
    <row r="146" spans="2:23" x14ac:dyDescent="0.35">
      <c r="B146" s="163">
        <v>108008</v>
      </c>
      <c r="C146" s="212" t="s">
        <v>144</v>
      </c>
      <c r="D146" s="221" t="s">
        <v>337</v>
      </c>
      <c r="E146" s="208">
        <v>18603.179999999993</v>
      </c>
      <c r="F146" s="208">
        <v>0</v>
      </c>
      <c r="G146" s="208">
        <v>0</v>
      </c>
      <c r="H146" s="208">
        <v>18603.179999999993</v>
      </c>
      <c r="I146" s="208">
        <v>0</v>
      </c>
      <c r="J146" s="208">
        <v>18603.18</v>
      </c>
      <c r="K146" s="170">
        <f t="shared" si="116"/>
        <v>0</v>
      </c>
      <c r="L146" s="170">
        <f t="shared" si="117"/>
        <v>18603.179999999993</v>
      </c>
      <c r="M146" s="170">
        <f t="shared" si="118"/>
        <v>7.2759576141834259E-12</v>
      </c>
      <c r="N146" s="208">
        <v>0</v>
      </c>
      <c r="O146" s="170">
        <f t="shared" si="119"/>
        <v>0</v>
      </c>
      <c r="P146" s="170">
        <f t="shared" si="120"/>
        <v>0</v>
      </c>
      <c r="Q146" s="180">
        <f t="shared" si="121"/>
        <v>0</v>
      </c>
      <c r="R146" s="170">
        <f t="shared" si="129"/>
        <v>-7.2759576141834259E-12</v>
      </c>
      <c r="S146" s="170">
        <f t="shared" si="130"/>
        <v>0</v>
      </c>
      <c r="T146" s="170">
        <f t="shared" si="131"/>
        <v>0</v>
      </c>
      <c r="U146" s="180">
        <f t="shared" si="125"/>
        <v>-7.2759576141834259E-12</v>
      </c>
      <c r="V146" s="180">
        <f t="shared" si="126"/>
        <v>7.2759576141834259E-12</v>
      </c>
      <c r="W146" s="180">
        <f t="shared" si="127"/>
        <v>18603.18</v>
      </c>
    </row>
    <row r="147" spans="2:23" x14ac:dyDescent="0.35">
      <c r="B147" s="163">
        <v>108004</v>
      </c>
      <c r="C147" s="212" t="s">
        <v>144</v>
      </c>
      <c r="D147" s="221" t="s">
        <v>246</v>
      </c>
      <c r="E147" s="208">
        <v>1012670.34</v>
      </c>
      <c r="F147" s="208">
        <v>712670</v>
      </c>
      <c r="G147" s="208">
        <v>0</v>
      </c>
      <c r="H147" s="208">
        <v>300000.33999999997</v>
      </c>
      <c r="I147" s="208">
        <v>0</v>
      </c>
      <c r="J147" s="208">
        <v>712670</v>
      </c>
      <c r="K147" s="170">
        <f t="shared" si="116"/>
        <v>0</v>
      </c>
      <c r="L147" s="170">
        <f t="shared" si="117"/>
        <v>300000.33999999997</v>
      </c>
      <c r="M147" s="170">
        <f t="shared" si="118"/>
        <v>412669.66000000003</v>
      </c>
      <c r="N147" s="208">
        <f t="shared" si="128"/>
        <v>300000.33999999997</v>
      </c>
      <c r="O147" s="170">
        <f t="shared" si="119"/>
        <v>0</v>
      </c>
      <c r="P147" s="170">
        <f t="shared" si="120"/>
        <v>0</v>
      </c>
      <c r="Q147" s="180">
        <f t="shared" si="121"/>
        <v>300000.33999999997</v>
      </c>
      <c r="R147" s="170">
        <f t="shared" si="129"/>
        <v>0</v>
      </c>
      <c r="S147" s="170">
        <f t="shared" si="130"/>
        <v>0</v>
      </c>
      <c r="T147" s="170">
        <f t="shared" si="131"/>
        <v>0</v>
      </c>
      <c r="U147" s="180">
        <f t="shared" si="125"/>
        <v>0</v>
      </c>
      <c r="V147" s="180">
        <f t="shared" si="126"/>
        <v>712670</v>
      </c>
      <c r="W147" s="180">
        <f t="shared" si="127"/>
        <v>1012670.34</v>
      </c>
    </row>
    <row r="148" spans="2:23" x14ac:dyDescent="0.35">
      <c r="B148" s="163">
        <v>108005</v>
      </c>
      <c r="C148" s="212" t="s">
        <v>144</v>
      </c>
      <c r="D148" s="221" t="s">
        <v>247</v>
      </c>
      <c r="E148" s="208">
        <v>5502175.1500000004</v>
      </c>
      <c r="F148" s="208">
        <v>0</v>
      </c>
      <c r="G148" s="208">
        <v>0</v>
      </c>
      <c r="H148" s="208">
        <v>5502175.1500000004</v>
      </c>
      <c r="I148" s="208">
        <v>0</v>
      </c>
      <c r="J148" s="208">
        <v>1554961.63</v>
      </c>
      <c r="K148" s="170">
        <f t="shared" si="116"/>
        <v>0</v>
      </c>
      <c r="L148" s="170">
        <f t="shared" si="117"/>
        <v>1554961.63</v>
      </c>
      <c r="M148" s="170">
        <f t="shared" si="118"/>
        <v>0</v>
      </c>
      <c r="N148" s="208">
        <f t="shared" si="128"/>
        <v>3947213.5200000005</v>
      </c>
      <c r="O148" s="170">
        <f t="shared" si="119"/>
        <v>0</v>
      </c>
      <c r="P148" s="170">
        <f t="shared" si="120"/>
        <v>3947213.5200000005</v>
      </c>
      <c r="Q148" s="180">
        <f t="shared" si="121"/>
        <v>0</v>
      </c>
      <c r="R148" s="170">
        <f t="shared" si="129"/>
        <v>0</v>
      </c>
      <c r="S148" s="170">
        <f t="shared" si="130"/>
        <v>0</v>
      </c>
      <c r="T148" s="170">
        <f t="shared" si="131"/>
        <v>0</v>
      </c>
      <c r="U148" s="180">
        <f t="shared" si="125"/>
        <v>0</v>
      </c>
      <c r="V148" s="180">
        <f t="shared" si="126"/>
        <v>0</v>
      </c>
      <c r="W148" s="180">
        <f t="shared" si="127"/>
        <v>5502175.1500000004</v>
      </c>
    </row>
    <row r="149" spans="2:23" x14ac:dyDescent="0.35">
      <c r="B149" s="163">
        <v>108006</v>
      </c>
      <c r="C149" s="212" t="s">
        <v>144</v>
      </c>
      <c r="D149" s="221" t="s">
        <v>248</v>
      </c>
      <c r="E149" s="208">
        <v>9089509.4900000002</v>
      </c>
      <c r="F149" s="208">
        <v>791383.08</v>
      </c>
      <c r="G149" s="208">
        <v>303196.26</v>
      </c>
      <c r="H149" s="208">
        <v>7994930.1500000004</v>
      </c>
      <c r="I149" s="208">
        <v>0</v>
      </c>
      <c r="J149" s="208">
        <v>4921781.3</v>
      </c>
      <c r="K149" s="170">
        <f t="shared" si="116"/>
        <v>303196.26</v>
      </c>
      <c r="L149" s="170">
        <f t="shared" si="117"/>
        <v>4618585.04</v>
      </c>
      <c r="M149" s="170">
        <f t="shared" si="118"/>
        <v>0</v>
      </c>
      <c r="N149" s="208">
        <f t="shared" si="128"/>
        <v>4167728.1900000004</v>
      </c>
      <c r="O149" s="170">
        <f t="shared" si="119"/>
        <v>0</v>
      </c>
      <c r="P149" s="170">
        <f t="shared" si="120"/>
        <v>3376345.1100000003</v>
      </c>
      <c r="Q149" s="180">
        <f t="shared" si="121"/>
        <v>791383.08000000007</v>
      </c>
      <c r="R149" s="170">
        <f t="shared" si="129"/>
        <v>0</v>
      </c>
      <c r="S149" s="170">
        <f t="shared" si="130"/>
        <v>0</v>
      </c>
      <c r="T149" s="170">
        <f t="shared" si="131"/>
        <v>0</v>
      </c>
      <c r="U149" s="180">
        <f t="shared" si="125"/>
        <v>0</v>
      </c>
      <c r="V149" s="180">
        <f t="shared" si="126"/>
        <v>791383.08000000007</v>
      </c>
      <c r="W149" s="180">
        <f t="shared" si="127"/>
        <v>9089509.4900000002</v>
      </c>
    </row>
    <row r="150" spans="2:23" x14ac:dyDescent="0.35">
      <c r="B150" s="163">
        <v>108007</v>
      </c>
      <c r="C150" s="212" t="s">
        <v>144</v>
      </c>
      <c r="D150" s="221" t="s">
        <v>249</v>
      </c>
      <c r="E150" s="208">
        <v>3792708.7899999991</v>
      </c>
      <c r="F150" s="208">
        <v>0</v>
      </c>
      <c r="G150" s="208">
        <v>0</v>
      </c>
      <c r="H150" s="208">
        <v>3792708.7899999991</v>
      </c>
      <c r="I150" s="208">
        <v>0</v>
      </c>
      <c r="J150" s="208">
        <v>2225085.4700000002</v>
      </c>
      <c r="K150" s="170">
        <f t="shared" si="116"/>
        <v>0</v>
      </c>
      <c r="L150" s="170">
        <f t="shared" si="117"/>
        <v>2225085.4700000002</v>
      </c>
      <c r="M150" s="170">
        <f t="shared" si="118"/>
        <v>0</v>
      </c>
      <c r="N150" s="208">
        <f t="shared" si="128"/>
        <v>1567623.3199999989</v>
      </c>
      <c r="O150" s="170">
        <f t="shared" si="119"/>
        <v>0</v>
      </c>
      <c r="P150" s="170">
        <f t="shared" si="120"/>
        <v>1567623.3199999989</v>
      </c>
      <c r="Q150" s="180">
        <f t="shared" si="121"/>
        <v>0</v>
      </c>
      <c r="R150" s="170">
        <f t="shared" si="129"/>
        <v>0</v>
      </c>
      <c r="S150" s="170">
        <f t="shared" si="130"/>
        <v>0</v>
      </c>
      <c r="T150" s="170">
        <f t="shared" si="131"/>
        <v>0</v>
      </c>
      <c r="U150" s="180">
        <f t="shared" si="125"/>
        <v>0</v>
      </c>
      <c r="V150" s="180">
        <f t="shared" si="126"/>
        <v>0</v>
      </c>
      <c r="W150" s="180">
        <f t="shared" si="127"/>
        <v>3792708.7899999991</v>
      </c>
    </row>
    <row r="151" spans="2:23" x14ac:dyDescent="0.35">
      <c r="B151" s="163">
        <v>108009</v>
      </c>
      <c r="C151" s="100" t="s">
        <v>144</v>
      </c>
      <c r="D151" s="138" t="s">
        <v>348</v>
      </c>
      <c r="E151" s="208">
        <v>1897086.34</v>
      </c>
      <c r="F151" s="208">
        <v>0</v>
      </c>
      <c r="G151" s="208">
        <v>0</v>
      </c>
      <c r="H151" s="208">
        <v>1897086.34</v>
      </c>
      <c r="I151" s="208">
        <v>0</v>
      </c>
      <c r="J151" s="208">
        <v>525758.4</v>
      </c>
      <c r="K151" s="170">
        <f t="shared" si="116"/>
        <v>0</v>
      </c>
      <c r="L151" s="170">
        <f t="shared" si="117"/>
        <v>525758.4</v>
      </c>
      <c r="M151" s="170">
        <f t="shared" si="118"/>
        <v>0</v>
      </c>
      <c r="N151" s="208">
        <f t="shared" si="128"/>
        <v>1371327.94</v>
      </c>
      <c r="O151" s="170">
        <f t="shared" si="119"/>
        <v>0</v>
      </c>
      <c r="P151" s="170">
        <f t="shared" si="120"/>
        <v>1371327.94</v>
      </c>
      <c r="Q151" s="180">
        <f t="shared" si="121"/>
        <v>0</v>
      </c>
      <c r="R151" s="170">
        <f t="shared" si="129"/>
        <v>0</v>
      </c>
      <c r="S151" s="170">
        <f t="shared" si="130"/>
        <v>0</v>
      </c>
      <c r="T151" s="170">
        <f t="shared" si="131"/>
        <v>0</v>
      </c>
      <c r="U151" s="180">
        <f t="shared" si="125"/>
        <v>0</v>
      </c>
      <c r="V151" s="180">
        <f t="shared" si="126"/>
        <v>0</v>
      </c>
      <c r="W151" s="180">
        <f t="shared" si="127"/>
        <v>1897086.3399999999</v>
      </c>
    </row>
    <row r="152" spans="2:23" x14ac:dyDescent="0.35">
      <c r="B152" s="163">
        <v>108010</v>
      </c>
      <c r="C152" s="100" t="s">
        <v>144</v>
      </c>
      <c r="D152" s="138" t="s">
        <v>323</v>
      </c>
      <c r="E152" s="208">
        <v>1752788.4800000002</v>
      </c>
      <c r="F152" s="208">
        <v>0</v>
      </c>
      <c r="G152" s="208">
        <v>0</v>
      </c>
      <c r="H152" s="208">
        <v>1752788.4800000002</v>
      </c>
      <c r="I152" s="208">
        <v>0</v>
      </c>
      <c r="J152" s="208">
        <v>1158162.72</v>
      </c>
      <c r="K152" s="170">
        <f t="shared" si="116"/>
        <v>0</v>
      </c>
      <c r="L152" s="170">
        <f t="shared" si="117"/>
        <v>1158162.72</v>
      </c>
      <c r="M152" s="170">
        <f t="shared" si="118"/>
        <v>0</v>
      </c>
      <c r="N152" s="208">
        <f t="shared" si="128"/>
        <v>594625.76000000024</v>
      </c>
      <c r="O152" s="170">
        <f t="shared" si="119"/>
        <v>0</v>
      </c>
      <c r="P152" s="170">
        <f t="shared" si="120"/>
        <v>594625.76000000024</v>
      </c>
      <c r="Q152" s="180">
        <f t="shared" si="121"/>
        <v>0</v>
      </c>
      <c r="R152" s="170">
        <f t="shared" si="129"/>
        <v>0</v>
      </c>
      <c r="S152" s="170">
        <f t="shared" si="130"/>
        <v>0</v>
      </c>
      <c r="T152" s="170">
        <f t="shared" si="131"/>
        <v>0</v>
      </c>
      <c r="U152" s="180">
        <f t="shared" si="125"/>
        <v>0</v>
      </c>
      <c r="V152" s="180">
        <f t="shared" si="126"/>
        <v>0</v>
      </c>
      <c r="W152" s="180">
        <f t="shared" si="127"/>
        <v>1752788.4800000002</v>
      </c>
    </row>
    <row r="153" spans="2:23" x14ac:dyDescent="0.35">
      <c r="B153" s="163">
        <v>108011</v>
      </c>
      <c r="C153" s="100" t="s">
        <v>144</v>
      </c>
      <c r="D153" s="138" t="s">
        <v>324</v>
      </c>
      <c r="E153" s="208">
        <v>248481.6</v>
      </c>
      <c r="F153" s="208">
        <v>0</v>
      </c>
      <c r="G153" s="208">
        <v>0</v>
      </c>
      <c r="H153" s="208">
        <v>248481.6</v>
      </c>
      <c r="I153" s="208">
        <v>0</v>
      </c>
      <c r="J153" s="208">
        <v>14803.6</v>
      </c>
      <c r="K153" s="170">
        <f t="shared" si="116"/>
        <v>0</v>
      </c>
      <c r="L153" s="170">
        <f t="shared" si="117"/>
        <v>14803.6</v>
      </c>
      <c r="M153" s="170">
        <f t="shared" si="118"/>
        <v>0</v>
      </c>
      <c r="N153" s="208">
        <f t="shared" si="128"/>
        <v>233678</v>
      </c>
      <c r="O153" s="170">
        <f t="shared" si="119"/>
        <v>0</v>
      </c>
      <c r="P153" s="170">
        <f t="shared" si="120"/>
        <v>233678</v>
      </c>
      <c r="Q153" s="180">
        <f t="shared" si="121"/>
        <v>0</v>
      </c>
      <c r="R153" s="170">
        <f t="shared" si="129"/>
        <v>0</v>
      </c>
      <c r="S153" s="170">
        <f t="shared" si="130"/>
        <v>0</v>
      </c>
      <c r="T153" s="170">
        <f t="shared" si="131"/>
        <v>0</v>
      </c>
      <c r="U153" s="180">
        <f t="shared" si="125"/>
        <v>0</v>
      </c>
      <c r="V153" s="180">
        <f t="shared" si="126"/>
        <v>0</v>
      </c>
      <c r="W153" s="180">
        <f t="shared" si="127"/>
        <v>248481.6</v>
      </c>
    </row>
    <row r="154" spans="2:23" x14ac:dyDescent="0.35">
      <c r="B154" s="163">
        <v>108012</v>
      </c>
      <c r="C154" s="100" t="s">
        <v>144</v>
      </c>
      <c r="D154" s="138" t="s">
        <v>325</v>
      </c>
      <c r="E154" s="208">
        <v>924839.14</v>
      </c>
      <c r="F154" s="208">
        <v>0</v>
      </c>
      <c r="G154" s="208">
        <v>0</v>
      </c>
      <c r="H154" s="208">
        <v>924839.14</v>
      </c>
      <c r="I154" s="208">
        <v>0</v>
      </c>
      <c r="J154" s="208">
        <v>1057577.1599999999</v>
      </c>
      <c r="K154" s="170">
        <f t="shared" si="116"/>
        <v>0</v>
      </c>
      <c r="L154" s="170">
        <f t="shared" si="117"/>
        <v>924839.14</v>
      </c>
      <c r="M154" s="170">
        <f t="shared" si="118"/>
        <v>132738.0199999999</v>
      </c>
      <c r="N154" s="208">
        <f t="shared" si="128"/>
        <v>-132738.0199999999</v>
      </c>
      <c r="O154" s="170">
        <f t="shared" si="119"/>
        <v>0</v>
      </c>
      <c r="P154" s="170">
        <f t="shared" si="120"/>
        <v>0</v>
      </c>
      <c r="Q154" s="180">
        <f t="shared" si="121"/>
        <v>-132738.0199999999</v>
      </c>
      <c r="R154" s="170">
        <f t="shared" si="129"/>
        <v>0</v>
      </c>
      <c r="S154" s="170">
        <f t="shared" si="130"/>
        <v>0</v>
      </c>
      <c r="T154" s="170">
        <f t="shared" si="131"/>
        <v>0</v>
      </c>
      <c r="U154" s="180">
        <f t="shared" si="125"/>
        <v>0</v>
      </c>
      <c r="V154" s="180">
        <f t="shared" si="126"/>
        <v>0</v>
      </c>
      <c r="W154" s="180">
        <f t="shared" si="127"/>
        <v>924839.14</v>
      </c>
    </row>
    <row r="155" spans="2:23" x14ac:dyDescent="0.35">
      <c r="B155" s="163">
        <v>108013</v>
      </c>
      <c r="C155" s="100" t="s">
        <v>144</v>
      </c>
      <c r="D155" s="138" t="s">
        <v>326</v>
      </c>
      <c r="E155" s="208">
        <v>418482.2</v>
      </c>
      <c r="F155" s="208">
        <v>0</v>
      </c>
      <c r="G155" s="208">
        <v>0</v>
      </c>
      <c r="H155" s="208">
        <v>418482.2</v>
      </c>
      <c r="I155" s="208">
        <v>0</v>
      </c>
      <c r="J155" s="208">
        <v>288246.8</v>
      </c>
      <c r="K155" s="170">
        <f t="shared" si="116"/>
        <v>0</v>
      </c>
      <c r="L155" s="170">
        <f t="shared" si="117"/>
        <v>288246.8</v>
      </c>
      <c r="M155" s="170">
        <f t="shared" si="118"/>
        <v>0</v>
      </c>
      <c r="N155" s="208">
        <f t="shared" si="128"/>
        <v>130235.40000000002</v>
      </c>
      <c r="O155" s="170">
        <f t="shared" si="119"/>
        <v>0</v>
      </c>
      <c r="P155" s="170">
        <f t="shared" si="120"/>
        <v>130235.40000000002</v>
      </c>
      <c r="Q155" s="180">
        <f t="shared" si="121"/>
        <v>0</v>
      </c>
      <c r="R155" s="170">
        <f t="shared" si="129"/>
        <v>0</v>
      </c>
      <c r="S155" s="170">
        <f t="shared" si="130"/>
        <v>0</v>
      </c>
      <c r="T155" s="170">
        <f t="shared" si="131"/>
        <v>0</v>
      </c>
      <c r="U155" s="180">
        <f t="shared" si="125"/>
        <v>0</v>
      </c>
      <c r="V155" s="180">
        <f t="shared" si="126"/>
        <v>0</v>
      </c>
      <c r="W155" s="180">
        <f t="shared" si="127"/>
        <v>418482.2</v>
      </c>
    </row>
    <row r="156" spans="2:23" x14ac:dyDescent="0.35">
      <c r="B156" s="163">
        <v>108014</v>
      </c>
      <c r="C156" s="100" t="s">
        <v>144</v>
      </c>
      <c r="D156" s="138" t="s">
        <v>327</v>
      </c>
      <c r="E156" s="208">
        <v>5346448.6899999995</v>
      </c>
      <c r="F156" s="208">
        <v>2763711</v>
      </c>
      <c r="G156" s="208">
        <v>0</v>
      </c>
      <c r="H156" s="208">
        <v>2582737.69</v>
      </c>
      <c r="I156" s="208">
        <v>0</v>
      </c>
      <c r="J156" s="208">
        <v>2512055.34</v>
      </c>
      <c r="K156" s="170">
        <f t="shared" si="116"/>
        <v>0</v>
      </c>
      <c r="L156" s="170">
        <f t="shared" si="117"/>
        <v>2512055.34</v>
      </c>
      <c r="M156" s="170">
        <f t="shared" si="118"/>
        <v>0</v>
      </c>
      <c r="N156" s="208">
        <f t="shared" si="128"/>
        <v>2834393.3499999996</v>
      </c>
      <c r="O156" s="170">
        <f t="shared" si="119"/>
        <v>0</v>
      </c>
      <c r="P156" s="170">
        <f t="shared" si="120"/>
        <v>70682.350000000093</v>
      </c>
      <c r="Q156" s="180">
        <f t="shared" si="121"/>
        <v>2763710.9999999995</v>
      </c>
      <c r="R156" s="170">
        <f t="shared" si="129"/>
        <v>0</v>
      </c>
      <c r="S156" s="170">
        <f t="shared" si="130"/>
        <v>0</v>
      </c>
      <c r="T156" s="170">
        <f t="shared" si="131"/>
        <v>0</v>
      </c>
      <c r="U156" s="180">
        <f t="shared" si="125"/>
        <v>0</v>
      </c>
      <c r="V156" s="180">
        <f t="shared" si="126"/>
        <v>2763710.9999999995</v>
      </c>
      <c r="W156" s="180">
        <f t="shared" si="127"/>
        <v>5346448.6899999995</v>
      </c>
    </row>
    <row r="157" spans="2:23" x14ac:dyDescent="0.35">
      <c r="B157" s="163">
        <v>108015</v>
      </c>
      <c r="C157" s="100" t="s">
        <v>144</v>
      </c>
      <c r="D157" s="138" t="s">
        <v>328</v>
      </c>
      <c r="E157" s="208">
        <v>2091686.14</v>
      </c>
      <c r="F157" s="208">
        <v>0</v>
      </c>
      <c r="G157" s="208">
        <v>0</v>
      </c>
      <c r="H157" s="208">
        <v>2091686.14</v>
      </c>
      <c r="I157" s="208">
        <v>0</v>
      </c>
      <c r="J157" s="208">
        <v>76574.37</v>
      </c>
      <c r="K157" s="170">
        <f t="shared" si="116"/>
        <v>0</v>
      </c>
      <c r="L157" s="170">
        <f t="shared" si="117"/>
        <v>76574.37</v>
      </c>
      <c r="M157" s="170">
        <f t="shared" si="118"/>
        <v>0</v>
      </c>
      <c r="N157" s="208">
        <f t="shared" si="128"/>
        <v>2015111.77</v>
      </c>
      <c r="O157" s="170">
        <f t="shared" si="119"/>
        <v>0</v>
      </c>
      <c r="P157" s="170">
        <f t="shared" si="120"/>
        <v>2015111.77</v>
      </c>
      <c r="Q157" s="180">
        <f t="shared" si="121"/>
        <v>0</v>
      </c>
      <c r="R157" s="170">
        <f t="shared" si="129"/>
        <v>0</v>
      </c>
      <c r="S157" s="170">
        <f t="shared" si="130"/>
        <v>0</v>
      </c>
      <c r="T157" s="170">
        <f t="shared" si="131"/>
        <v>0</v>
      </c>
      <c r="U157" s="180">
        <f t="shared" si="125"/>
        <v>0</v>
      </c>
      <c r="V157" s="180">
        <f t="shared" si="126"/>
        <v>0</v>
      </c>
      <c r="W157" s="180">
        <f t="shared" si="127"/>
        <v>2091686.1400000001</v>
      </c>
    </row>
    <row r="158" spans="2:23" x14ac:dyDescent="0.35">
      <c r="B158" s="345">
        <v>108016</v>
      </c>
      <c r="C158" s="346" t="s">
        <v>144</v>
      </c>
      <c r="D158" s="347" t="s">
        <v>500</v>
      </c>
      <c r="E158" s="348">
        <v>1847692.12</v>
      </c>
      <c r="F158" s="348">
        <v>0</v>
      </c>
      <c r="G158" s="348">
        <v>0</v>
      </c>
      <c r="H158" s="348">
        <v>1847692.12</v>
      </c>
      <c r="I158" s="348">
        <v>0</v>
      </c>
      <c r="J158" s="348">
        <f>4664973.44-552513.27</f>
        <v>4112460.1700000004</v>
      </c>
      <c r="K158" s="348">
        <f t="shared" si="116"/>
        <v>0</v>
      </c>
      <c r="L158" s="348">
        <f t="shared" si="117"/>
        <v>1847692.12</v>
      </c>
      <c r="M158" s="348">
        <f t="shared" si="118"/>
        <v>2264768.0500000003</v>
      </c>
      <c r="N158" s="348">
        <v>0</v>
      </c>
      <c r="O158" s="348">
        <f t="shared" si="119"/>
        <v>0</v>
      </c>
      <c r="P158" s="348">
        <f t="shared" si="120"/>
        <v>0</v>
      </c>
      <c r="Q158" s="349">
        <f t="shared" si="121"/>
        <v>0</v>
      </c>
      <c r="R158" s="348">
        <f t="shared" si="129"/>
        <v>-2264768.0500000003</v>
      </c>
      <c r="S158" s="348">
        <f t="shared" si="130"/>
        <v>0</v>
      </c>
      <c r="T158" s="348">
        <f t="shared" si="131"/>
        <v>0</v>
      </c>
      <c r="U158" s="349">
        <f t="shared" si="125"/>
        <v>-2264768.0500000003</v>
      </c>
      <c r="V158" s="349">
        <f t="shared" si="126"/>
        <v>2264768.0500000003</v>
      </c>
      <c r="W158" s="349">
        <f t="shared" si="127"/>
        <v>4112460.1700000004</v>
      </c>
    </row>
    <row r="159" spans="2:23" x14ac:dyDescent="0.35">
      <c r="B159" s="163">
        <v>108017</v>
      </c>
      <c r="C159" s="100" t="s">
        <v>144</v>
      </c>
      <c r="D159" s="138" t="s">
        <v>329</v>
      </c>
      <c r="E159" s="208">
        <v>1348974.6300000001</v>
      </c>
      <c r="F159" s="208">
        <v>0</v>
      </c>
      <c r="G159" s="208">
        <v>0</v>
      </c>
      <c r="H159" s="208">
        <v>1348974.6300000001</v>
      </c>
      <c r="I159" s="208">
        <v>0</v>
      </c>
      <c r="J159" s="208">
        <v>862704.04</v>
      </c>
      <c r="K159" s="170">
        <f t="shared" si="116"/>
        <v>0</v>
      </c>
      <c r="L159" s="170">
        <f t="shared" si="117"/>
        <v>862704.04</v>
      </c>
      <c r="M159" s="170">
        <f t="shared" si="118"/>
        <v>0</v>
      </c>
      <c r="N159" s="208">
        <f t="shared" si="128"/>
        <v>486270.59000000008</v>
      </c>
      <c r="O159" s="170">
        <f t="shared" si="119"/>
        <v>0</v>
      </c>
      <c r="P159" s="170">
        <f t="shared" si="120"/>
        <v>486270.59000000008</v>
      </c>
      <c r="Q159" s="180">
        <f t="shared" si="121"/>
        <v>0</v>
      </c>
      <c r="R159" s="170">
        <f t="shared" si="129"/>
        <v>0</v>
      </c>
      <c r="S159" s="170">
        <f t="shared" si="130"/>
        <v>0</v>
      </c>
      <c r="T159" s="170">
        <f t="shared" si="131"/>
        <v>0</v>
      </c>
      <c r="U159" s="180">
        <f t="shared" si="125"/>
        <v>0</v>
      </c>
      <c r="V159" s="180">
        <f t="shared" si="126"/>
        <v>0</v>
      </c>
      <c r="W159" s="180">
        <f t="shared" si="127"/>
        <v>1348974.6300000001</v>
      </c>
    </row>
    <row r="160" spans="2:23" x14ac:dyDescent="0.35">
      <c r="B160" s="163">
        <v>108018</v>
      </c>
      <c r="C160" s="100" t="s">
        <v>144</v>
      </c>
      <c r="D160" s="138" t="s">
        <v>332</v>
      </c>
      <c r="E160" s="208">
        <v>1579497.23</v>
      </c>
      <c r="F160" s="208">
        <v>0</v>
      </c>
      <c r="G160" s="208">
        <v>0</v>
      </c>
      <c r="H160" s="208">
        <v>1579497.23</v>
      </c>
      <c r="I160" s="208">
        <v>0</v>
      </c>
      <c r="J160" s="208">
        <v>659384.76</v>
      </c>
      <c r="K160" s="170">
        <f t="shared" si="116"/>
        <v>0</v>
      </c>
      <c r="L160" s="170">
        <f t="shared" si="117"/>
        <v>659384.76</v>
      </c>
      <c r="M160" s="170">
        <f t="shared" si="118"/>
        <v>0</v>
      </c>
      <c r="N160" s="208">
        <f t="shared" si="128"/>
        <v>920112.47</v>
      </c>
      <c r="O160" s="170">
        <f t="shared" si="119"/>
        <v>0</v>
      </c>
      <c r="P160" s="170">
        <f t="shared" si="120"/>
        <v>920112.47</v>
      </c>
      <c r="Q160" s="180">
        <f t="shared" si="121"/>
        <v>0</v>
      </c>
      <c r="R160" s="170">
        <f t="shared" si="129"/>
        <v>0</v>
      </c>
      <c r="S160" s="170">
        <f t="shared" si="130"/>
        <v>0</v>
      </c>
      <c r="T160" s="170">
        <f t="shared" si="131"/>
        <v>0</v>
      </c>
      <c r="U160" s="180">
        <f t="shared" si="125"/>
        <v>0</v>
      </c>
      <c r="V160" s="180">
        <f t="shared" si="126"/>
        <v>0</v>
      </c>
      <c r="W160" s="180">
        <f t="shared" si="127"/>
        <v>1579497.23</v>
      </c>
    </row>
    <row r="161" spans="2:23" x14ac:dyDescent="0.35">
      <c r="B161" s="163">
        <v>108019</v>
      </c>
      <c r="C161" s="100" t="s">
        <v>144</v>
      </c>
      <c r="D161" s="138" t="s">
        <v>331</v>
      </c>
      <c r="E161" s="208">
        <v>687128.99</v>
      </c>
      <c r="F161" s="208">
        <v>0</v>
      </c>
      <c r="G161" s="208">
        <v>0</v>
      </c>
      <c r="H161" s="208">
        <v>687128.99</v>
      </c>
      <c r="I161" s="208">
        <v>0</v>
      </c>
      <c r="J161" s="208">
        <v>0</v>
      </c>
      <c r="K161" s="170">
        <f t="shared" si="116"/>
        <v>0</v>
      </c>
      <c r="L161" s="170">
        <f t="shared" si="117"/>
        <v>0</v>
      </c>
      <c r="M161" s="170">
        <f t="shared" si="118"/>
        <v>0</v>
      </c>
      <c r="N161" s="208">
        <f t="shared" si="128"/>
        <v>687128.99</v>
      </c>
      <c r="O161" s="170">
        <f t="shared" si="119"/>
        <v>0</v>
      </c>
      <c r="P161" s="170">
        <f t="shared" si="120"/>
        <v>687128.99</v>
      </c>
      <c r="Q161" s="180">
        <f t="shared" si="121"/>
        <v>0</v>
      </c>
      <c r="R161" s="170">
        <f t="shared" si="129"/>
        <v>0</v>
      </c>
      <c r="S161" s="170">
        <f t="shared" si="130"/>
        <v>0</v>
      </c>
      <c r="T161" s="170">
        <f t="shared" si="131"/>
        <v>0</v>
      </c>
      <c r="U161" s="180">
        <f t="shared" si="125"/>
        <v>0</v>
      </c>
      <c r="V161" s="180">
        <f t="shared" si="126"/>
        <v>0</v>
      </c>
      <c r="W161" s="180">
        <f t="shared" si="127"/>
        <v>687128.99</v>
      </c>
    </row>
    <row r="162" spans="2:23" x14ac:dyDescent="0.35">
      <c r="B162" s="163">
        <v>108020</v>
      </c>
      <c r="C162" s="100" t="s">
        <v>144</v>
      </c>
      <c r="D162" s="138" t="s">
        <v>330</v>
      </c>
      <c r="E162" s="208">
        <v>2668489.5700000003</v>
      </c>
      <c r="F162" s="208">
        <v>0</v>
      </c>
      <c r="G162" s="208">
        <v>0</v>
      </c>
      <c r="H162" s="208">
        <v>2668489.5700000003</v>
      </c>
      <c r="I162" s="208">
        <v>0</v>
      </c>
      <c r="J162" s="208">
        <v>678038.58</v>
      </c>
      <c r="K162" s="170">
        <f t="shared" si="116"/>
        <v>0</v>
      </c>
      <c r="L162" s="170">
        <f t="shared" si="117"/>
        <v>678038.58</v>
      </c>
      <c r="M162" s="170">
        <f t="shared" si="118"/>
        <v>0</v>
      </c>
      <c r="N162" s="208">
        <f t="shared" si="128"/>
        <v>1990450.9900000002</v>
      </c>
      <c r="O162" s="170">
        <f t="shared" si="119"/>
        <v>0</v>
      </c>
      <c r="P162" s="170">
        <f t="shared" si="120"/>
        <v>1990450.9900000002</v>
      </c>
      <c r="Q162" s="180">
        <f t="shared" si="121"/>
        <v>0</v>
      </c>
      <c r="R162" s="170">
        <f t="shared" si="129"/>
        <v>0</v>
      </c>
      <c r="S162" s="170">
        <f t="shared" si="130"/>
        <v>0</v>
      </c>
      <c r="T162" s="170">
        <f t="shared" si="131"/>
        <v>0</v>
      </c>
      <c r="U162" s="180">
        <f t="shared" si="125"/>
        <v>0</v>
      </c>
      <c r="V162" s="180">
        <f t="shared" si="126"/>
        <v>0</v>
      </c>
      <c r="W162" s="180">
        <f t="shared" si="127"/>
        <v>2668489.5700000003</v>
      </c>
    </row>
    <row r="163" spans="2:23" x14ac:dyDescent="0.35">
      <c r="B163" s="163">
        <v>108021</v>
      </c>
      <c r="C163" s="100" t="s">
        <v>144</v>
      </c>
      <c r="D163" s="138" t="s">
        <v>333</v>
      </c>
      <c r="E163" s="208">
        <v>2225579.85</v>
      </c>
      <c r="F163" s="208">
        <v>0</v>
      </c>
      <c r="G163" s="208">
        <v>0</v>
      </c>
      <c r="H163" s="208">
        <v>2225579.85</v>
      </c>
      <c r="I163" s="208">
        <v>0</v>
      </c>
      <c r="J163" s="208">
        <v>1251725.45</v>
      </c>
      <c r="K163" s="170">
        <f t="shared" si="116"/>
        <v>0</v>
      </c>
      <c r="L163" s="170">
        <f t="shared" si="117"/>
        <v>1251725.45</v>
      </c>
      <c r="M163" s="170">
        <f t="shared" si="118"/>
        <v>0</v>
      </c>
      <c r="N163" s="208">
        <f t="shared" si="128"/>
        <v>973854.40000000014</v>
      </c>
      <c r="O163" s="170">
        <f t="shared" si="119"/>
        <v>0</v>
      </c>
      <c r="P163" s="170">
        <f t="shared" si="120"/>
        <v>973854.40000000014</v>
      </c>
      <c r="Q163" s="180">
        <f t="shared" si="121"/>
        <v>0</v>
      </c>
      <c r="R163" s="170">
        <f t="shared" si="129"/>
        <v>0</v>
      </c>
      <c r="S163" s="170">
        <f t="shared" si="130"/>
        <v>0</v>
      </c>
      <c r="T163" s="170">
        <f t="shared" si="131"/>
        <v>0</v>
      </c>
      <c r="U163" s="180">
        <f t="shared" si="125"/>
        <v>0</v>
      </c>
      <c r="V163" s="180">
        <f t="shared" si="126"/>
        <v>0</v>
      </c>
      <c r="W163" s="180">
        <f t="shared" si="127"/>
        <v>2225579.85</v>
      </c>
    </row>
    <row r="164" spans="2:23" x14ac:dyDescent="0.35">
      <c r="B164" s="163">
        <v>108022</v>
      </c>
      <c r="C164" s="100" t="s">
        <v>144</v>
      </c>
      <c r="D164" s="138" t="s">
        <v>334</v>
      </c>
      <c r="E164" s="208">
        <v>1703244.23</v>
      </c>
      <c r="F164" s="208">
        <v>0</v>
      </c>
      <c r="G164" s="208">
        <v>0</v>
      </c>
      <c r="H164" s="208">
        <v>1703244.23</v>
      </c>
      <c r="I164" s="208">
        <v>0</v>
      </c>
      <c r="J164" s="208">
        <v>1206027.07</v>
      </c>
      <c r="K164" s="170">
        <f t="shared" si="116"/>
        <v>0</v>
      </c>
      <c r="L164" s="170">
        <f t="shared" si="117"/>
        <v>1206027.07</v>
      </c>
      <c r="M164" s="170">
        <f t="shared" si="118"/>
        <v>0</v>
      </c>
      <c r="N164" s="208">
        <f t="shared" si="128"/>
        <v>497217.15999999992</v>
      </c>
      <c r="O164" s="170">
        <f t="shared" si="119"/>
        <v>0</v>
      </c>
      <c r="P164" s="170">
        <f t="shared" si="120"/>
        <v>497217.15999999992</v>
      </c>
      <c r="Q164" s="180">
        <f t="shared" si="121"/>
        <v>0</v>
      </c>
      <c r="R164" s="170">
        <f t="shared" si="129"/>
        <v>0</v>
      </c>
      <c r="S164" s="170">
        <f t="shared" si="130"/>
        <v>0</v>
      </c>
      <c r="T164" s="170">
        <f t="shared" si="131"/>
        <v>0</v>
      </c>
      <c r="U164" s="180">
        <f t="shared" si="125"/>
        <v>0</v>
      </c>
      <c r="V164" s="180">
        <f t="shared" si="126"/>
        <v>0</v>
      </c>
      <c r="W164" s="180">
        <f t="shared" si="127"/>
        <v>1703244.23</v>
      </c>
    </row>
    <row r="165" spans="2:23" x14ac:dyDescent="0.35">
      <c r="B165" s="163">
        <v>108023</v>
      </c>
      <c r="C165" s="100" t="s">
        <v>144</v>
      </c>
      <c r="D165" s="138" t="s">
        <v>335</v>
      </c>
      <c r="E165" s="208">
        <v>1651836.22</v>
      </c>
      <c r="F165" s="208">
        <v>0</v>
      </c>
      <c r="G165" s="208">
        <v>0</v>
      </c>
      <c r="H165" s="208">
        <v>1651836.22</v>
      </c>
      <c r="I165" s="208">
        <v>0</v>
      </c>
      <c r="J165" s="208">
        <v>1097054.78</v>
      </c>
      <c r="K165" s="170">
        <f t="shared" si="116"/>
        <v>0</v>
      </c>
      <c r="L165" s="170">
        <f t="shared" si="117"/>
        <v>1097054.78</v>
      </c>
      <c r="M165" s="170">
        <f t="shared" si="118"/>
        <v>0</v>
      </c>
      <c r="N165" s="208">
        <f t="shared" si="128"/>
        <v>554781.43999999994</v>
      </c>
      <c r="O165" s="170">
        <f t="shared" si="119"/>
        <v>0</v>
      </c>
      <c r="P165" s="170">
        <f t="shared" si="120"/>
        <v>554781.43999999994</v>
      </c>
      <c r="Q165" s="180">
        <f t="shared" si="121"/>
        <v>0</v>
      </c>
      <c r="R165" s="170">
        <f t="shared" si="129"/>
        <v>0</v>
      </c>
      <c r="S165" s="170">
        <f t="shared" si="130"/>
        <v>0</v>
      </c>
      <c r="T165" s="170">
        <f t="shared" si="131"/>
        <v>0</v>
      </c>
      <c r="U165" s="180">
        <f t="shared" si="125"/>
        <v>0</v>
      </c>
      <c r="V165" s="180">
        <f t="shared" si="126"/>
        <v>0</v>
      </c>
      <c r="W165" s="180">
        <f t="shared" si="127"/>
        <v>1651836.22</v>
      </c>
    </row>
    <row r="166" spans="2:23" s="139" customFormat="1" x14ac:dyDescent="0.35">
      <c r="B166" s="163">
        <v>108024</v>
      </c>
      <c r="C166" s="135" t="s">
        <v>144</v>
      </c>
      <c r="D166" s="138" t="s">
        <v>363</v>
      </c>
      <c r="E166" s="169">
        <v>-388905.13</v>
      </c>
      <c r="F166" s="169">
        <v>0</v>
      </c>
      <c r="G166" s="169">
        <v>0</v>
      </c>
      <c r="H166" s="169">
        <v>-388905.13</v>
      </c>
      <c r="I166" s="169">
        <v>0</v>
      </c>
      <c r="J166" s="353">
        <v>179684.69</v>
      </c>
      <c r="K166" s="169">
        <f t="shared" si="116"/>
        <v>0</v>
      </c>
      <c r="L166" s="169">
        <f t="shared" si="117"/>
        <v>0</v>
      </c>
      <c r="M166" s="169">
        <f t="shared" si="118"/>
        <v>179684.69</v>
      </c>
      <c r="N166" s="169">
        <v>0</v>
      </c>
      <c r="O166" s="169">
        <f t="shared" si="119"/>
        <v>0</v>
      </c>
      <c r="P166" s="169">
        <f t="shared" si="120"/>
        <v>0</v>
      </c>
      <c r="Q166" s="344">
        <f t="shared" si="121"/>
        <v>0</v>
      </c>
      <c r="R166" s="169">
        <f t="shared" si="129"/>
        <v>-568589.82000000007</v>
      </c>
      <c r="S166" s="169">
        <f t="shared" si="130"/>
        <v>0</v>
      </c>
      <c r="T166" s="169">
        <f t="shared" si="131"/>
        <v>-388905.13</v>
      </c>
      <c r="U166" s="344">
        <f t="shared" si="125"/>
        <v>-179684.69</v>
      </c>
      <c r="V166" s="344">
        <f t="shared" si="126"/>
        <v>179684.69</v>
      </c>
      <c r="W166" s="344">
        <f t="shared" si="127"/>
        <v>179684.69</v>
      </c>
    </row>
    <row r="167" spans="2:23" x14ac:dyDescent="0.35">
      <c r="B167" s="163">
        <v>108025</v>
      </c>
      <c r="C167" s="100" t="s">
        <v>144</v>
      </c>
      <c r="D167" s="138" t="s">
        <v>399</v>
      </c>
      <c r="E167" s="178">
        <v>0</v>
      </c>
      <c r="F167" s="224">
        <v>0</v>
      </c>
      <c r="G167" s="208">
        <v>0</v>
      </c>
      <c r="H167" s="208">
        <v>0</v>
      </c>
      <c r="I167" s="208">
        <v>0</v>
      </c>
      <c r="J167" s="208">
        <v>1378019.99</v>
      </c>
      <c r="K167" s="170">
        <f t="shared" si="116"/>
        <v>0</v>
      </c>
      <c r="L167" s="170">
        <f t="shared" si="117"/>
        <v>0</v>
      </c>
      <c r="M167" s="170">
        <f t="shared" si="118"/>
        <v>1378019.99</v>
      </c>
      <c r="N167" s="208">
        <v>0</v>
      </c>
      <c r="O167" s="170">
        <f t="shared" si="119"/>
        <v>0</v>
      </c>
      <c r="P167" s="170">
        <f t="shared" si="120"/>
        <v>0</v>
      </c>
      <c r="Q167" s="180">
        <f t="shared" si="121"/>
        <v>0</v>
      </c>
      <c r="R167" s="170">
        <f t="shared" si="129"/>
        <v>-1378019.99</v>
      </c>
      <c r="S167" s="170">
        <f t="shared" si="130"/>
        <v>0</v>
      </c>
      <c r="T167" s="170">
        <f t="shared" si="131"/>
        <v>0</v>
      </c>
      <c r="U167" s="180">
        <f t="shared" si="125"/>
        <v>-1378019.99</v>
      </c>
      <c r="V167" s="180">
        <f t="shared" si="126"/>
        <v>1378019.99</v>
      </c>
      <c r="W167" s="180">
        <f t="shared" si="127"/>
        <v>1378019.99</v>
      </c>
    </row>
    <row r="168" spans="2:23" x14ac:dyDescent="0.35">
      <c r="B168" s="220">
        <v>108026</v>
      </c>
      <c r="C168" s="212" t="s">
        <v>144</v>
      </c>
      <c r="D168" s="221" t="s">
        <v>400</v>
      </c>
      <c r="E168" s="208">
        <v>4147860</v>
      </c>
      <c r="F168" s="208">
        <v>4147860</v>
      </c>
      <c r="G168" s="208">
        <v>0</v>
      </c>
      <c r="H168" s="208">
        <v>0</v>
      </c>
      <c r="I168" s="208">
        <v>0</v>
      </c>
      <c r="J168" s="208">
        <v>1657025.95</v>
      </c>
      <c r="K168" s="170">
        <f t="shared" si="116"/>
        <v>0</v>
      </c>
      <c r="L168" s="170">
        <f t="shared" si="117"/>
        <v>0</v>
      </c>
      <c r="M168" s="170">
        <f t="shared" si="118"/>
        <v>1657025.95</v>
      </c>
      <c r="N168" s="208">
        <f t="shared" si="128"/>
        <v>2490834.0499999998</v>
      </c>
      <c r="O168" s="170">
        <f t="shared" si="119"/>
        <v>0</v>
      </c>
      <c r="P168" s="170">
        <f t="shared" si="120"/>
        <v>0</v>
      </c>
      <c r="Q168" s="180">
        <f t="shared" si="121"/>
        <v>2490834.0499999998</v>
      </c>
      <c r="R168" s="170">
        <f t="shared" si="129"/>
        <v>0</v>
      </c>
      <c r="S168" s="170">
        <f t="shared" si="130"/>
        <v>0</v>
      </c>
      <c r="T168" s="170">
        <f t="shared" si="131"/>
        <v>0</v>
      </c>
      <c r="U168" s="180">
        <f t="shared" si="125"/>
        <v>0</v>
      </c>
      <c r="V168" s="180">
        <f t="shared" si="126"/>
        <v>4147860</v>
      </c>
      <c r="W168" s="180">
        <f t="shared" si="127"/>
        <v>4147860</v>
      </c>
    </row>
    <row r="169" spans="2:23" x14ac:dyDescent="0.35">
      <c r="B169" s="163">
        <v>108027</v>
      </c>
      <c r="C169" s="100" t="s">
        <v>144</v>
      </c>
      <c r="D169" s="138" t="s">
        <v>401</v>
      </c>
      <c r="E169" s="208">
        <v>0</v>
      </c>
      <c r="F169" s="208">
        <v>0</v>
      </c>
      <c r="G169" s="208">
        <v>0</v>
      </c>
      <c r="H169" s="208">
        <v>0</v>
      </c>
      <c r="I169" s="208">
        <v>0</v>
      </c>
      <c r="J169" s="208">
        <v>0</v>
      </c>
      <c r="K169" s="170">
        <f t="shared" si="116"/>
        <v>0</v>
      </c>
      <c r="L169" s="170">
        <f t="shared" si="117"/>
        <v>0</v>
      </c>
      <c r="M169" s="170">
        <f t="shared" si="118"/>
        <v>0</v>
      </c>
      <c r="N169" s="208">
        <f t="shared" si="128"/>
        <v>0</v>
      </c>
      <c r="O169" s="170">
        <f t="shared" si="119"/>
        <v>0</v>
      </c>
      <c r="P169" s="170">
        <f t="shared" si="120"/>
        <v>0</v>
      </c>
      <c r="Q169" s="180">
        <f t="shared" si="121"/>
        <v>0</v>
      </c>
      <c r="R169" s="170">
        <f t="shared" si="129"/>
        <v>0</v>
      </c>
      <c r="S169" s="170">
        <f t="shared" si="130"/>
        <v>0</v>
      </c>
      <c r="T169" s="170">
        <f t="shared" si="131"/>
        <v>0</v>
      </c>
      <c r="U169" s="180">
        <f t="shared" si="125"/>
        <v>0</v>
      </c>
      <c r="V169" s="180">
        <f t="shared" si="126"/>
        <v>0</v>
      </c>
      <c r="W169" s="180">
        <f t="shared" si="127"/>
        <v>0</v>
      </c>
    </row>
    <row r="170" spans="2:23" x14ac:dyDescent="0.35">
      <c r="B170" s="163">
        <v>108104</v>
      </c>
      <c r="C170" s="100" t="s">
        <v>144</v>
      </c>
      <c r="D170" s="138" t="s">
        <v>402</v>
      </c>
      <c r="E170" s="208">
        <v>5784372</v>
      </c>
      <c r="F170" s="208">
        <v>5784372</v>
      </c>
      <c r="G170" s="208">
        <v>0</v>
      </c>
      <c r="H170" s="208">
        <v>0</v>
      </c>
      <c r="I170" s="208">
        <v>0</v>
      </c>
      <c r="J170" s="208">
        <v>5851462.9299999997</v>
      </c>
      <c r="K170" s="170">
        <f t="shared" si="116"/>
        <v>0</v>
      </c>
      <c r="L170" s="170">
        <f t="shared" si="117"/>
        <v>0</v>
      </c>
      <c r="M170" s="170">
        <f t="shared" si="118"/>
        <v>5851462.9299999997</v>
      </c>
      <c r="N170" s="208">
        <v>0</v>
      </c>
      <c r="O170" s="170">
        <f t="shared" si="119"/>
        <v>0</v>
      </c>
      <c r="P170" s="170">
        <f t="shared" si="120"/>
        <v>0</v>
      </c>
      <c r="Q170" s="180">
        <f t="shared" si="121"/>
        <v>0</v>
      </c>
      <c r="R170" s="170">
        <f t="shared" si="129"/>
        <v>-67090.929999999702</v>
      </c>
      <c r="S170" s="170">
        <f t="shared" si="130"/>
        <v>0</v>
      </c>
      <c r="T170" s="170">
        <f t="shared" si="131"/>
        <v>0</v>
      </c>
      <c r="U170" s="180">
        <f t="shared" si="125"/>
        <v>-67090.929999999702</v>
      </c>
      <c r="V170" s="180">
        <f t="shared" si="126"/>
        <v>5851462.9299999997</v>
      </c>
      <c r="W170" s="180">
        <f t="shared" si="127"/>
        <v>5851462.9299999997</v>
      </c>
    </row>
    <row r="171" spans="2:23" x14ac:dyDescent="0.35">
      <c r="B171" s="163">
        <v>108105</v>
      </c>
      <c r="C171" s="100" t="s">
        <v>144</v>
      </c>
      <c r="D171" s="138" t="s">
        <v>403</v>
      </c>
      <c r="E171" s="208">
        <v>24932736.800000001</v>
      </c>
      <c r="F171" s="208">
        <v>24932736.800000001</v>
      </c>
      <c r="G171" s="208">
        <v>0</v>
      </c>
      <c r="H171" s="208">
        <v>0</v>
      </c>
      <c r="I171" s="208">
        <v>0</v>
      </c>
      <c r="J171" s="208">
        <v>24383387.649999999</v>
      </c>
      <c r="K171" s="170">
        <f t="shared" si="116"/>
        <v>0</v>
      </c>
      <c r="L171" s="170">
        <f t="shared" si="117"/>
        <v>0</v>
      </c>
      <c r="M171" s="170">
        <f t="shared" si="118"/>
        <v>24383387.649999999</v>
      </c>
      <c r="N171" s="208">
        <f t="shared" si="128"/>
        <v>549349.15000000224</v>
      </c>
      <c r="O171" s="170">
        <f t="shared" si="119"/>
        <v>0</v>
      </c>
      <c r="P171" s="170">
        <f t="shared" si="120"/>
        <v>0</v>
      </c>
      <c r="Q171" s="180">
        <f t="shared" si="121"/>
        <v>549349.15000000224</v>
      </c>
      <c r="R171" s="170">
        <f t="shared" si="129"/>
        <v>0</v>
      </c>
      <c r="S171" s="170">
        <f t="shared" si="130"/>
        <v>0</v>
      </c>
      <c r="T171" s="170">
        <f t="shared" si="131"/>
        <v>0</v>
      </c>
      <c r="U171" s="180">
        <f t="shared" si="125"/>
        <v>0</v>
      </c>
      <c r="V171" s="180">
        <f t="shared" si="126"/>
        <v>24932736.800000001</v>
      </c>
      <c r="W171" s="180">
        <f t="shared" si="127"/>
        <v>24932736.800000001</v>
      </c>
    </row>
    <row r="172" spans="2:23" x14ac:dyDescent="0.35">
      <c r="C172" s="182"/>
      <c r="D172" s="183"/>
      <c r="E172" s="219"/>
      <c r="F172" s="217"/>
      <c r="G172" s="219"/>
      <c r="H172" s="219"/>
      <c r="I172" s="219"/>
      <c r="J172" s="219"/>
      <c r="K172" s="184"/>
      <c r="L172" s="184"/>
      <c r="M172" s="184"/>
      <c r="N172" s="228"/>
      <c r="O172" s="189"/>
      <c r="P172" s="189"/>
      <c r="Q172" s="189"/>
      <c r="R172" s="189"/>
      <c r="S172" s="189"/>
      <c r="T172" s="189"/>
      <c r="U172" s="189"/>
      <c r="V172" s="189"/>
      <c r="W172" s="189"/>
    </row>
    <row r="173" spans="2:23" x14ac:dyDescent="0.35">
      <c r="B173" s="164"/>
      <c r="C173" s="186" t="s">
        <v>145</v>
      </c>
      <c r="D173" s="187" t="s">
        <v>146</v>
      </c>
      <c r="E173" s="225">
        <f t="shared" ref="E173:W173" si="132">SUM(E174:E248)</f>
        <v>8082851.8199999984</v>
      </c>
      <c r="F173" s="225">
        <f t="shared" si="132"/>
        <v>0</v>
      </c>
      <c r="G173" s="225">
        <f t="shared" si="132"/>
        <v>8082851.5599999987</v>
      </c>
      <c r="H173" s="225">
        <f t="shared" si="132"/>
        <v>0</v>
      </c>
      <c r="I173" s="225">
        <f t="shared" si="132"/>
        <v>0</v>
      </c>
      <c r="J173" s="225">
        <f t="shared" si="132"/>
        <v>8082851.8200000003</v>
      </c>
      <c r="K173" s="185">
        <f t="shared" si="132"/>
        <v>8082851.8200000003</v>
      </c>
      <c r="L173" s="185">
        <f t="shared" si="132"/>
        <v>0</v>
      </c>
      <c r="M173" s="185">
        <f t="shared" si="132"/>
        <v>0</v>
      </c>
      <c r="N173" s="185">
        <f t="shared" si="132"/>
        <v>0</v>
      </c>
      <c r="O173" s="185">
        <f t="shared" si="132"/>
        <v>0</v>
      </c>
      <c r="P173" s="185">
        <f t="shared" si="132"/>
        <v>0</v>
      </c>
      <c r="Q173" s="185">
        <f t="shared" si="132"/>
        <v>0</v>
      </c>
      <c r="R173" s="185">
        <f t="shared" si="132"/>
        <v>-0.26000000030035153</v>
      </c>
      <c r="S173" s="185">
        <f t="shared" si="132"/>
        <v>-0.26000000030035153</v>
      </c>
      <c r="T173" s="185">
        <f t="shared" si="132"/>
        <v>0</v>
      </c>
      <c r="U173" s="185">
        <f t="shared" si="132"/>
        <v>0</v>
      </c>
      <c r="V173" s="185">
        <f t="shared" si="132"/>
        <v>0</v>
      </c>
      <c r="W173" s="185">
        <f t="shared" si="132"/>
        <v>8082851.8200000003</v>
      </c>
    </row>
    <row r="174" spans="2:23" x14ac:dyDescent="0.35">
      <c r="B174" s="164">
        <v>210100</v>
      </c>
      <c r="C174" s="100" t="s">
        <v>145</v>
      </c>
      <c r="D174" s="106" t="s">
        <v>156</v>
      </c>
      <c r="E174" s="208">
        <v>249900</v>
      </c>
      <c r="F174" s="208">
        <v>0</v>
      </c>
      <c r="G174" s="208">
        <v>249900</v>
      </c>
      <c r="H174" s="208">
        <v>0</v>
      </c>
      <c r="I174" s="208">
        <v>0</v>
      </c>
      <c r="J174" s="208">
        <v>252604.28</v>
      </c>
      <c r="K174" s="170">
        <f>J174</f>
        <v>252604.28</v>
      </c>
      <c r="L174" s="170">
        <f t="shared" ref="L174:L237" si="133">IF(AND(H174&gt;0, J174&gt;0), MIN(H174, J174 - K174), 0)</f>
        <v>0</v>
      </c>
      <c r="M174" s="170">
        <v>0</v>
      </c>
      <c r="N174" s="208">
        <v>0</v>
      </c>
      <c r="O174" s="208">
        <v>0</v>
      </c>
      <c r="P174" s="208">
        <v>0</v>
      </c>
      <c r="Q174" s="208">
        <v>0</v>
      </c>
      <c r="R174" s="170">
        <f t="shared" ref="R174" si="134">SUM(S174:U174)</f>
        <v>-2704.2799999999988</v>
      </c>
      <c r="S174" s="170">
        <f t="shared" ref="S174" si="135">G174-K174-O174</f>
        <v>-2704.2799999999988</v>
      </c>
      <c r="T174" s="170">
        <f t="shared" ref="T174" si="136">H174-L174-P174</f>
        <v>0</v>
      </c>
      <c r="U174" s="180">
        <f t="shared" ref="U174:U237" si="137">F174+I174-M174-Q174</f>
        <v>0</v>
      </c>
      <c r="V174" s="180">
        <f t="shared" ref="V174:V237" si="138">M174+Q174</f>
        <v>0</v>
      </c>
      <c r="W174" s="180">
        <f t="shared" ref="W174:W205" si="139">J174+N174</f>
        <v>252604.28</v>
      </c>
    </row>
    <row r="175" spans="2:23" x14ac:dyDescent="0.35">
      <c r="B175" s="164">
        <v>210227</v>
      </c>
      <c r="C175" s="100" t="s">
        <v>145</v>
      </c>
      <c r="D175" s="106" t="s">
        <v>214</v>
      </c>
      <c r="E175" s="208">
        <v>0</v>
      </c>
      <c r="F175" s="208">
        <v>0</v>
      </c>
      <c r="G175" s="208">
        <v>0</v>
      </c>
      <c r="H175" s="208">
        <v>0</v>
      </c>
      <c r="I175" s="208">
        <v>0</v>
      </c>
      <c r="J175" s="208">
        <v>0</v>
      </c>
      <c r="K175" s="170">
        <f t="shared" ref="K175:K238" si="140">J175</f>
        <v>0</v>
      </c>
      <c r="L175" s="170">
        <f t="shared" si="133"/>
        <v>0</v>
      </c>
      <c r="M175" s="170">
        <f t="shared" ref="M175:M237" si="141">IF(J175&lt;0, J175, MAX(0, J175 - K175 - L175))</f>
        <v>0</v>
      </c>
      <c r="N175" s="208">
        <v>0</v>
      </c>
      <c r="O175" s="208">
        <v>0</v>
      </c>
      <c r="P175" s="208">
        <v>0</v>
      </c>
      <c r="Q175" s="208">
        <v>0</v>
      </c>
      <c r="R175" s="170">
        <f t="shared" ref="R175:R238" si="142">SUM(S175:U175)</f>
        <v>0</v>
      </c>
      <c r="S175" s="170">
        <f t="shared" ref="S175:S238" si="143">G175-K175-O175</f>
        <v>0</v>
      </c>
      <c r="T175" s="170">
        <f t="shared" ref="T175:T238" si="144">H175-L175-P175</f>
        <v>0</v>
      </c>
      <c r="U175" s="180">
        <f t="shared" si="137"/>
        <v>0</v>
      </c>
      <c r="V175" s="180">
        <f t="shared" si="138"/>
        <v>0</v>
      </c>
      <c r="W175" s="180">
        <f t="shared" si="139"/>
        <v>0</v>
      </c>
    </row>
    <row r="176" spans="2:23" x14ac:dyDescent="0.35">
      <c r="B176" s="164">
        <v>211100</v>
      </c>
      <c r="C176" s="100" t="s">
        <v>145</v>
      </c>
      <c r="D176" s="106" t="s">
        <v>196</v>
      </c>
      <c r="E176" s="208">
        <v>0</v>
      </c>
      <c r="F176" s="208">
        <v>0</v>
      </c>
      <c r="G176" s="208">
        <v>0</v>
      </c>
      <c r="H176" s="208">
        <v>0</v>
      </c>
      <c r="I176" s="208">
        <v>0</v>
      </c>
      <c r="J176" s="208">
        <v>0</v>
      </c>
      <c r="K176" s="170">
        <f t="shared" si="140"/>
        <v>0</v>
      </c>
      <c r="L176" s="170">
        <f t="shared" si="133"/>
        <v>0</v>
      </c>
      <c r="M176" s="170">
        <f t="shared" si="141"/>
        <v>0</v>
      </c>
      <c r="N176" s="208">
        <v>0</v>
      </c>
      <c r="O176" s="208">
        <v>0</v>
      </c>
      <c r="P176" s="208">
        <v>0</v>
      </c>
      <c r="Q176" s="208">
        <v>0</v>
      </c>
      <c r="R176" s="170">
        <f t="shared" si="142"/>
        <v>0</v>
      </c>
      <c r="S176" s="170">
        <f t="shared" si="143"/>
        <v>0</v>
      </c>
      <c r="T176" s="170">
        <f t="shared" si="144"/>
        <v>0</v>
      </c>
      <c r="U176" s="180">
        <f t="shared" si="137"/>
        <v>0</v>
      </c>
      <c r="V176" s="180">
        <f t="shared" si="138"/>
        <v>0</v>
      </c>
      <c r="W176" s="180">
        <f t="shared" si="139"/>
        <v>0</v>
      </c>
    </row>
    <row r="177" spans="2:23" x14ac:dyDescent="0.35">
      <c r="B177" s="164">
        <v>211101</v>
      </c>
      <c r="C177" s="100" t="s">
        <v>145</v>
      </c>
      <c r="D177" s="106" t="s">
        <v>157</v>
      </c>
      <c r="E177" s="208">
        <v>0</v>
      </c>
      <c r="F177" s="208">
        <v>0</v>
      </c>
      <c r="G177" s="208">
        <v>0</v>
      </c>
      <c r="H177" s="208">
        <v>0</v>
      </c>
      <c r="I177" s="208">
        <v>0</v>
      </c>
      <c r="J177" s="208">
        <v>0</v>
      </c>
      <c r="K177" s="170">
        <f t="shared" si="140"/>
        <v>0</v>
      </c>
      <c r="L177" s="170">
        <f t="shared" si="133"/>
        <v>0</v>
      </c>
      <c r="M177" s="170">
        <f t="shared" si="141"/>
        <v>0</v>
      </c>
      <c r="N177" s="208">
        <v>0</v>
      </c>
      <c r="O177" s="208">
        <v>0</v>
      </c>
      <c r="P177" s="208">
        <v>0</v>
      </c>
      <c r="Q177" s="208">
        <v>0</v>
      </c>
      <c r="R177" s="170">
        <f t="shared" si="142"/>
        <v>0</v>
      </c>
      <c r="S177" s="170">
        <f t="shared" si="143"/>
        <v>0</v>
      </c>
      <c r="T177" s="170">
        <f t="shared" si="144"/>
        <v>0</v>
      </c>
      <c r="U177" s="180">
        <f t="shared" si="137"/>
        <v>0</v>
      </c>
      <c r="V177" s="180">
        <f t="shared" si="138"/>
        <v>0</v>
      </c>
      <c r="W177" s="180">
        <f t="shared" si="139"/>
        <v>0</v>
      </c>
    </row>
    <row r="178" spans="2:23" x14ac:dyDescent="0.35">
      <c r="B178" s="164">
        <v>211102</v>
      </c>
      <c r="C178" s="100" t="s">
        <v>145</v>
      </c>
      <c r="D178" s="106" t="s">
        <v>158</v>
      </c>
      <c r="E178" s="208">
        <v>6361.74</v>
      </c>
      <c r="F178" s="208">
        <v>0</v>
      </c>
      <c r="G178" s="208">
        <v>6361.74</v>
      </c>
      <c r="H178" s="208">
        <v>0</v>
      </c>
      <c r="I178" s="208">
        <v>0</v>
      </c>
      <c r="J178" s="208">
        <v>0</v>
      </c>
      <c r="K178" s="170">
        <f t="shared" si="140"/>
        <v>0</v>
      </c>
      <c r="L178" s="170">
        <f t="shared" si="133"/>
        <v>0</v>
      </c>
      <c r="M178" s="170">
        <f t="shared" si="141"/>
        <v>0</v>
      </c>
      <c r="N178" s="208">
        <v>0</v>
      </c>
      <c r="O178" s="208">
        <v>0</v>
      </c>
      <c r="P178" s="208">
        <v>0</v>
      </c>
      <c r="Q178" s="208">
        <v>0</v>
      </c>
      <c r="R178" s="170">
        <f t="shared" si="142"/>
        <v>6361.74</v>
      </c>
      <c r="S178" s="170">
        <f t="shared" si="143"/>
        <v>6361.74</v>
      </c>
      <c r="T178" s="170">
        <f t="shared" si="144"/>
        <v>0</v>
      </c>
      <c r="U178" s="180">
        <f t="shared" si="137"/>
        <v>0</v>
      </c>
      <c r="V178" s="180">
        <f t="shared" si="138"/>
        <v>0</v>
      </c>
      <c r="W178" s="180">
        <f t="shared" si="139"/>
        <v>0</v>
      </c>
    </row>
    <row r="179" spans="2:23" x14ac:dyDescent="0.35">
      <c r="B179" s="164">
        <v>211103</v>
      </c>
      <c r="C179" s="100" t="s">
        <v>145</v>
      </c>
      <c r="D179" s="106" t="s">
        <v>215</v>
      </c>
      <c r="E179" s="208">
        <v>0</v>
      </c>
      <c r="F179" s="208">
        <v>0</v>
      </c>
      <c r="G179" s="208">
        <v>0</v>
      </c>
      <c r="H179" s="208">
        <v>0</v>
      </c>
      <c r="I179" s="208">
        <v>0</v>
      </c>
      <c r="J179" s="208">
        <v>0</v>
      </c>
      <c r="K179" s="170">
        <f t="shared" si="140"/>
        <v>0</v>
      </c>
      <c r="L179" s="170">
        <f t="shared" si="133"/>
        <v>0</v>
      </c>
      <c r="M179" s="170">
        <f t="shared" si="141"/>
        <v>0</v>
      </c>
      <c r="N179" s="208">
        <v>0</v>
      </c>
      <c r="O179" s="208">
        <v>0</v>
      </c>
      <c r="P179" s="208">
        <v>0</v>
      </c>
      <c r="Q179" s="208">
        <v>0</v>
      </c>
      <c r="R179" s="170">
        <f t="shared" si="142"/>
        <v>0</v>
      </c>
      <c r="S179" s="170">
        <f t="shared" si="143"/>
        <v>0</v>
      </c>
      <c r="T179" s="170">
        <f t="shared" si="144"/>
        <v>0</v>
      </c>
      <c r="U179" s="180">
        <f t="shared" si="137"/>
        <v>0</v>
      </c>
      <c r="V179" s="180">
        <f t="shared" si="138"/>
        <v>0</v>
      </c>
      <c r="W179" s="180">
        <f t="shared" si="139"/>
        <v>0</v>
      </c>
    </row>
    <row r="180" spans="2:23" x14ac:dyDescent="0.35">
      <c r="B180" s="164">
        <v>211106</v>
      </c>
      <c r="C180" s="100" t="s">
        <v>145</v>
      </c>
      <c r="D180" s="106" t="s">
        <v>216</v>
      </c>
      <c r="E180" s="208">
        <v>0</v>
      </c>
      <c r="F180" s="208">
        <v>0</v>
      </c>
      <c r="G180" s="208">
        <v>0</v>
      </c>
      <c r="H180" s="208">
        <v>0</v>
      </c>
      <c r="I180" s="208">
        <v>0</v>
      </c>
      <c r="J180" s="208">
        <v>0</v>
      </c>
      <c r="K180" s="170">
        <f t="shared" si="140"/>
        <v>0</v>
      </c>
      <c r="L180" s="170">
        <f t="shared" si="133"/>
        <v>0</v>
      </c>
      <c r="M180" s="170">
        <f t="shared" si="141"/>
        <v>0</v>
      </c>
      <c r="N180" s="208">
        <v>0</v>
      </c>
      <c r="O180" s="208">
        <v>0</v>
      </c>
      <c r="P180" s="208">
        <v>0</v>
      </c>
      <c r="Q180" s="208">
        <v>0</v>
      </c>
      <c r="R180" s="170">
        <f t="shared" si="142"/>
        <v>0</v>
      </c>
      <c r="S180" s="170">
        <f t="shared" si="143"/>
        <v>0</v>
      </c>
      <c r="T180" s="170">
        <f t="shared" si="144"/>
        <v>0</v>
      </c>
      <c r="U180" s="180">
        <f t="shared" si="137"/>
        <v>0</v>
      </c>
      <c r="V180" s="180">
        <f t="shared" si="138"/>
        <v>0</v>
      </c>
      <c r="W180" s="180">
        <f t="shared" si="139"/>
        <v>0</v>
      </c>
    </row>
    <row r="181" spans="2:23" s="139" customFormat="1" x14ac:dyDescent="0.35">
      <c r="B181" s="164">
        <v>211108</v>
      </c>
      <c r="C181" s="100" t="s">
        <v>145</v>
      </c>
      <c r="D181" s="106" t="s">
        <v>217</v>
      </c>
      <c r="E181" s="208">
        <v>0</v>
      </c>
      <c r="F181" s="208">
        <v>0</v>
      </c>
      <c r="G181" s="208">
        <v>0</v>
      </c>
      <c r="H181" s="208">
        <v>0</v>
      </c>
      <c r="I181" s="208">
        <v>0</v>
      </c>
      <c r="J181" s="208">
        <v>0</v>
      </c>
      <c r="K181" s="170">
        <f t="shared" si="140"/>
        <v>0</v>
      </c>
      <c r="L181" s="170">
        <f t="shared" si="133"/>
        <v>0</v>
      </c>
      <c r="M181" s="170">
        <f t="shared" si="141"/>
        <v>0</v>
      </c>
      <c r="N181" s="208">
        <v>0</v>
      </c>
      <c r="O181" s="208">
        <v>0</v>
      </c>
      <c r="P181" s="208">
        <v>0</v>
      </c>
      <c r="Q181" s="208">
        <v>0</v>
      </c>
      <c r="R181" s="170">
        <f t="shared" si="142"/>
        <v>0</v>
      </c>
      <c r="S181" s="170">
        <f t="shared" si="143"/>
        <v>0</v>
      </c>
      <c r="T181" s="170">
        <f t="shared" si="144"/>
        <v>0</v>
      </c>
      <c r="U181" s="180">
        <f t="shared" si="137"/>
        <v>0</v>
      </c>
      <c r="V181" s="180">
        <f t="shared" si="138"/>
        <v>0</v>
      </c>
      <c r="W181" s="180">
        <f t="shared" si="139"/>
        <v>0</v>
      </c>
    </row>
    <row r="182" spans="2:23" x14ac:dyDescent="0.35">
      <c r="B182" s="164">
        <v>211109</v>
      </c>
      <c r="C182" s="135" t="s">
        <v>145</v>
      </c>
      <c r="D182" s="138" t="s">
        <v>360</v>
      </c>
      <c r="E182" s="208">
        <v>-2169883.17</v>
      </c>
      <c r="F182" s="208">
        <v>0</v>
      </c>
      <c r="G182" s="208">
        <v>-2169883.17</v>
      </c>
      <c r="H182" s="208">
        <v>0</v>
      </c>
      <c r="I182" s="208">
        <v>0</v>
      </c>
      <c r="J182" s="208">
        <v>0</v>
      </c>
      <c r="K182" s="170">
        <f t="shared" si="140"/>
        <v>0</v>
      </c>
      <c r="L182" s="170">
        <f t="shared" si="133"/>
        <v>0</v>
      </c>
      <c r="M182" s="170">
        <f t="shared" si="141"/>
        <v>0</v>
      </c>
      <c r="N182" s="208">
        <v>0</v>
      </c>
      <c r="O182" s="208">
        <v>0</v>
      </c>
      <c r="P182" s="208">
        <v>0</v>
      </c>
      <c r="Q182" s="208">
        <v>0</v>
      </c>
      <c r="R182" s="170">
        <f t="shared" si="142"/>
        <v>-2169883.17</v>
      </c>
      <c r="S182" s="170">
        <f t="shared" si="143"/>
        <v>-2169883.17</v>
      </c>
      <c r="T182" s="170">
        <f t="shared" si="144"/>
        <v>0</v>
      </c>
      <c r="U182" s="180">
        <f t="shared" si="137"/>
        <v>0</v>
      </c>
      <c r="V182" s="180">
        <f t="shared" si="138"/>
        <v>0</v>
      </c>
      <c r="W182" s="180">
        <f t="shared" si="139"/>
        <v>0</v>
      </c>
    </row>
    <row r="183" spans="2:23" x14ac:dyDescent="0.35">
      <c r="B183" s="164">
        <v>211110</v>
      </c>
      <c r="C183" s="100" t="s">
        <v>145</v>
      </c>
      <c r="D183" s="106" t="s">
        <v>159</v>
      </c>
      <c r="E183" s="208">
        <v>0</v>
      </c>
      <c r="F183" s="208">
        <v>0</v>
      </c>
      <c r="G183" s="208">
        <v>0</v>
      </c>
      <c r="H183" s="208">
        <v>0</v>
      </c>
      <c r="I183" s="208">
        <v>0</v>
      </c>
      <c r="J183" s="208">
        <v>0</v>
      </c>
      <c r="K183" s="170">
        <f t="shared" si="140"/>
        <v>0</v>
      </c>
      <c r="L183" s="170">
        <f t="shared" si="133"/>
        <v>0</v>
      </c>
      <c r="M183" s="170">
        <f t="shared" si="141"/>
        <v>0</v>
      </c>
      <c r="N183" s="208">
        <v>0</v>
      </c>
      <c r="O183" s="208">
        <v>0</v>
      </c>
      <c r="P183" s="208">
        <v>0</v>
      </c>
      <c r="Q183" s="208">
        <v>0</v>
      </c>
      <c r="R183" s="170">
        <f t="shared" si="142"/>
        <v>0</v>
      </c>
      <c r="S183" s="170">
        <f t="shared" si="143"/>
        <v>0</v>
      </c>
      <c r="T183" s="170">
        <f t="shared" si="144"/>
        <v>0</v>
      </c>
      <c r="U183" s="180">
        <f t="shared" si="137"/>
        <v>0</v>
      </c>
      <c r="V183" s="180">
        <f t="shared" si="138"/>
        <v>0</v>
      </c>
      <c r="W183" s="180">
        <f t="shared" si="139"/>
        <v>0</v>
      </c>
    </row>
    <row r="184" spans="2:23" x14ac:dyDescent="0.35">
      <c r="B184" s="164">
        <v>211111</v>
      </c>
      <c r="C184" s="100" t="s">
        <v>145</v>
      </c>
      <c r="D184" s="106" t="s">
        <v>218</v>
      </c>
      <c r="E184" s="208">
        <v>0</v>
      </c>
      <c r="F184" s="208">
        <v>0</v>
      </c>
      <c r="G184" s="208">
        <v>0</v>
      </c>
      <c r="H184" s="208">
        <v>0</v>
      </c>
      <c r="I184" s="208">
        <v>0</v>
      </c>
      <c r="J184" s="208">
        <v>0</v>
      </c>
      <c r="K184" s="170">
        <f t="shared" si="140"/>
        <v>0</v>
      </c>
      <c r="L184" s="170">
        <f t="shared" si="133"/>
        <v>0</v>
      </c>
      <c r="M184" s="170">
        <f t="shared" si="141"/>
        <v>0</v>
      </c>
      <c r="N184" s="208">
        <v>0</v>
      </c>
      <c r="O184" s="208">
        <v>0</v>
      </c>
      <c r="P184" s="208">
        <v>0</v>
      </c>
      <c r="Q184" s="208">
        <v>0</v>
      </c>
      <c r="R184" s="170">
        <f t="shared" si="142"/>
        <v>0</v>
      </c>
      <c r="S184" s="170">
        <f t="shared" si="143"/>
        <v>0</v>
      </c>
      <c r="T184" s="170">
        <f t="shared" si="144"/>
        <v>0</v>
      </c>
      <c r="U184" s="180">
        <f t="shared" si="137"/>
        <v>0</v>
      </c>
      <c r="V184" s="180">
        <f t="shared" si="138"/>
        <v>0</v>
      </c>
      <c r="W184" s="180">
        <f t="shared" si="139"/>
        <v>0</v>
      </c>
    </row>
    <row r="185" spans="2:23" x14ac:dyDescent="0.35">
      <c r="B185" s="164">
        <v>211112</v>
      </c>
      <c r="C185" s="100" t="s">
        <v>145</v>
      </c>
      <c r="D185" s="106" t="s">
        <v>219</v>
      </c>
      <c r="E185" s="208">
        <v>0</v>
      </c>
      <c r="F185" s="208">
        <v>0</v>
      </c>
      <c r="G185" s="208">
        <v>0</v>
      </c>
      <c r="H185" s="208">
        <v>0</v>
      </c>
      <c r="I185" s="208">
        <v>0</v>
      </c>
      <c r="J185" s="208">
        <v>0</v>
      </c>
      <c r="K185" s="170">
        <f t="shared" si="140"/>
        <v>0</v>
      </c>
      <c r="L185" s="170">
        <f t="shared" si="133"/>
        <v>0</v>
      </c>
      <c r="M185" s="170">
        <f t="shared" si="141"/>
        <v>0</v>
      </c>
      <c r="N185" s="208">
        <v>0</v>
      </c>
      <c r="O185" s="208">
        <v>0</v>
      </c>
      <c r="P185" s="208">
        <v>0</v>
      </c>
      <c r="Q185" s="208">
        <v>0</v>
      </c>
      <c r="R185" s="170">
        <f t="shared" si="142"/>
        <v>0</v>
      </c>
      <c r="S185" s="170">
        <f t="shared" si="143"/>
        <v>0</v>
      </c>
      <c r="T185" s="170">
        <f t="shared" si="144"/>
        <v>0</v>
      </c>
      <c r="U185" s="180">
        <f t="shared" si="137"/>
        <v>0</v>
      </c>
      <c r="V185" s="180">
        <f t="shared" si="138"/>
        <v>0</v>
      </c>
      <c r="W185" s="180">
        <f t="shared" si="139"/>
        <v>0</v>
      </c>
    </row>
    <row r="186" spans="2:23" x14ac:dyDescent="0.35">
      <c r="B186" s="164">
        <v>211114</v>
      </c>
      <c r="C186" s="100" t="s">
        <v>145</v>
      </c>
      <c r="D186" s="106" t="s">
        <v>220</v>
      </c>
      <c r="E186" s="208">
        <v>0</v>
      </c>
      <c r="F186" s="208">
        <v>0</v>
      </c>
      <c r="G186" s="208">
        <v>0</v>
      </c>
      <c r="H186" s="208">
        <v>0</v>
      </c>
      <c r="I186" s="208">
        <v>0</v>
      </c>
      <c r="J186" s="208">
        <v>0</v>
      </c>
      <c r="K186" s="170">
        <f t="shared" si="140"/>
        <v>0</v>
      </c>
      <c r="L186" s="170">
        <f t="shared" si="133"/>
        <v>0</v>
      </c>
      <c r="M186" s="170">
        <f t="shared" si="141"/>
        <v>0</v>
      </c>
      <c r="N186" s="208">
        <v>0</v>
      </c>
      <c r="O186" s="208">
        <v>0</v>
      </c>
      <c r="P186" s="208">
        <v>0</v>
      </c>
      <c r="Q186" s="208">
        <v>0</v>
      </c>
      <c r="R186" s="170">
        <f t="shared" si="142"/>
        <v>0</v>
      </c>
      <c r="S186" s="170">
        <f t="shared" si="143"/>
        <v>0</v>
      </c>
      <c r="T186" s="170">
        <f t="shared" si="144"/>
        <v>0</v>
      </c>
      <c r="U186" s="180">
        <f t="shared" si="137"/>
        <v>0</v>
      </c>
      <c r="V186" s="180">
        <f t="shared" si="138"/>
        <v>0</v>
      </c>
      <c r="W186" s="180">
        <f t="shared" si="139"/>
        <v>0</v>
      </c>
    </row>
    <row r="187" spans="2:23" x14ac:dyDescent="0.35">
      <c r="B187" s="164">
        <v>211116</v>
      </c>
      <c r="C187" s="100" t="s">
        <v>145</v>
      </c>
      <c r="D187" s="106" t="s">
        <v>221</v>
      </c>
      <c r="E187" s="208">
        <v>0</v>
      </c>
      <c r="F187" s="208">
        <v>0</v>
      </c>
      <c r="G187" s="208">
        <v>0</v>
      </c>
      <c r="H187" s="208">
        <v>0</v>
      </c>
      <c r="I187" s="208">
        <v>0</v>
      </c>
      <c r="J187" s="208">
        <v>0</v>
      </c>
      <c r="K187" s="170">
        <f t="shared" si="140"/>
        <v>0</v>
      </c>
      <c r="L187" s="170">
        <f t="shared" si="133"/>
        <v>0</v>
      </c>
      <c r="M187" s="170">
        <f t="shared" si="141"/>
        <v>0</v>
      </c>
      <c r="N187" s="208">
        <v>0</v>
      </c>
      <c r="O187" s="208">
        <v>0</v>
      </c>
      <c r="P187" s="208">
        <v>0</v>
      </c>
      <c r="Q187" s="208">
        <v>0</v>
      </c>
      <c r="R187" s="170">
        <f t="shared" si="142"/>
        <v>0</v>
      </c>
      <c r="S187" s="170">
        <f t="shared" si="143"/>
        <v>0</v>
      </c>
      <c r="T187" s="170">
        <f t="shared" si="144"/>
        <v>0</v>
      </c>
      <c r="U187" s="180">
        <f t="shared" si="137"/>
        <v>0</v>
      </c>
      <c r="V187" s="180">
        <f t="shared" si="138"/>
        <v>0</v>
      </c>
      <c r="W187" s="180">
        <f t="shared" si="139"/>
        <v>0</v>
      </c>
    </row>
    <row r="188" spans="2:23" x14ac:dyDescent="0.35">
      <c r="B188" s="164">
        <v>211120</v>
      </c>
      <c r="C188" s="100" t="s">
        <v>145</v>
      </c>
      <c r="D188" s="106" t="s">
        <v>222</v>
      </c>
      <c r="E188" s="208">
        <v>0</v>
      </c>
      <c r="F188" s="208">
        <v>0</v>
      </c>
      <c r="G188" s="208">
        <v>0</v>
      </c>
      <c r="H188" s="208">
        <v>0</v>
      </c>
      <c r="I188" s="208">
        <v>0</v>
      </c>
      <c r="J188" s="208">
        <v>0</v>
      </c>
      <c r="K188" s="170">
        <f t="shared" si="140"/>
        <v>0</v>
      </c>
      <c r="L188" s="170">
        <f t="shared" si="133"/>
        <v>0</v>
      </c>
      <c r="M188" s="170">
        <f t="shared" si="141"/>
        <v>0</v>
      </c>
      <c r="N188" s="208">
        <v>0</v>
      </c>
      <c r="O188" s="208">
        <v>0</v>
      </c>
      <c r="P188" s="208">
        <v>0</v>
      </c>
      <c r="Q188" s="208">
        <v>0</v>
      </c>
      <c r="R188" s="170">
        <f t="shared" si="142"/>
        <v>0</v>
      </c>
      <c r="S188" s="170">
        <f t="shared" si="143"/>
        <v>0</v>
      </c>
      <c r="T188" s="170">
        <f t="shared" si="144"/>
        <v>0</v>
      </c>
      <c r="U188" s="180">
        <f t="shared" si="137"/>
        <v>0</v>
      </c>
      <c r="V188" s="180">
        <f t="shared" si="138"/>
        <v>0</v>
      </c>
      <c r="W188" s="180">
        <f t="shared" si="139"/>
        <v>0</v>
      </c>
    </row>
    <row r="189" spans="2:23" x14ac:dyDescent="0.35">
      <c r="B189" s="164">
        <v>211124</v>
      </c>
      <c r="C189" s="100" t="s">
        <v>145</v>
      </c>
      <c r="D189" s="106" t="s">
        <v>160</v>
      </c>
      <c r="E189" s="208">
        <v>0</v>
      </c>
      <c r="F189" s="208">
        <v>0</v>
      </c>
      <c r="G189" s="208">
        <v>0</v>
      </c>
      <c r="H189" s="208">
        <v>0</v>
      </c>
      <c r="I189" s="208">
        <v>0</v>
      </c>
      <c r="J189" s="208">
        <v>0</v>
      </c>
      <c r="K189" s="170">
        <f t="shared" si="140"/>
        <v>0</v>
      </c>
      <c r="L189" s="170">
        <f t="shared" si="133"/>
        <v>0</v>
      </c>
      <c r="M189" s="170">
        <f t="shared" si="141"/>
        <v>0</v>
      </c>
      <c r="N189" s="208">
        <v>0</v>
      </c>
      <c r="O189" s="208">
        <v>0</v>
      </c>
      <c r="P189" s="208">
        <v>0</v>
      </c>
      <c r="Q189" s="208">
        <v>0</v>
      </c>
      <c r="R189" s="170">
        <f t="shared" si="142"/>
        <v>0</v>
      </c>
      <c r="S189" s="170">
        <f t="shared" si="143"/>
        <v>0</v>
      </c>
      <c r="T189" s="170">
        <f t="shared" si="144"/>
        <v>0</v>
      </c>
      <c r="U189" s="180">
        <f t="shared" si="137"/>
        <v>0</v>
      </c>
      <c r="V189" s="180">
        <f t="shared" si="138"/>
        <v>0</v>
      </c>
      <c r="W189" s="180">
        <f t="shared" si="139"/>
        <v>0</v>
      </c>
    </row>
    <row r="190" spans="2:23" x14ac:dyDescent="0.35">
      <c r="B190" s="164">
        <v>211127</v>
      </c>
      <c r="C190" s="100" t="s">
        <v>145</v>
      </c>
      <c r="D190" s="106" t="s">
        <v>223</v>
      </c>
      <c r="E190" s="208">
        <v>0</v>
      </c>
      <c r="F190" s="208">
        <v>0</v>
      </c>
      <c r="G190" s="208">
        <v>0</v>
      </c>
      <c r="H190" s="208">
        <v>0</v>
      </c>
      <c r="I190" s="208">
        <v>0</v>
      </c>
      <c r="J190" s="208">
        <v>0</v>
      </c>
      <c r="K190" s="170">
        <f t="shared" si="140"/>
        <v>0</v>
      </c>
      <c r="L190" s="170">
        <f t="shared" si="133"/>
        <v>0</v>
      </c>
      <c r="M190" s="170">
        <f t="shared" si="141"/>
        <v>0</v>
      </c>
      <c r="N190" s="208">
        <v>0</v>
      </c>
      <c r="O190" s="208">
        <v>0</v>
      </c>
      <c r="P190" s="208">
        <v>0</v>
      </c>
      <c r="Q190" s="208">
        <v>0</v>
      </c>
      <c r="R190" s="170">
        <f t="shared" si="142"/>
        <v>0</v>
      </c>
      <c r="S190" s="170">
        <f t="shared" si="143"/>
        <v>0</v>
      </c>
      <c r="T190" s="170">
        <f t="shared" si="144"/>
        <v>0</v>
      </c>
      <c r="U190" s="180">
        <f t="shared" si="137"/>
        <v>0</v>
      </c>
      <c r="V190" s="180">
        <f t="shared" si="138"/>
        <v>0</v>
      </c>
      <c r="W190" s="180">
        <f t="shared" si="139"/>
        <v>0</v>
      </c>
    </row>
    <row r="191" spans="2:23" x14ac:dyDescent="0.35">
      <c r="B191" s="164">
        <v>211130</v>
      </c>
      <c r="C191" s="100" t="s">
        <v>145</v>
      </c>
      <c r="D191" s="106" t="s">
        <v>224</v>
      </c>
      <c r="E191" s="208">
        <v>0</v>
      </c>
      <c r="F191" s="208">
        <v>0</v>
      </c>
      <c r="G191" s="208">
        <v>0</v>
      </c>
      <c r="H191" s="208">
        <v>0</v>
      </c>
      <c r="I191" s="208">
        <v>0</v>
      </c>
      <c r="J191" s="208">
        <v>0</v>
      </c>
      <c r="K191" s="170">
        <f t="shared" si="140"/>
        <v>0</v>
      </c>
      <c r="L191" s="170">
        <f t="shared" si="133"/>
        <v>0</v>
      </c>
      <c r="M191" s="170">
        <f t="shared" si="141"/>
        <v>0</v>
      </c>
      <c r="N191" s="208">
        <v>0</v>
      </c>
      <c r="O191" s="208">
        <v>0</v>
      </c>
      <c r="P191" s="208">
        <v>0</v>
      </c>
      <c r="Q191" s="208">
        <v>0</v>
      </c>
      <c r="R191" s="170">
        <f t="shared" si="142"/>
        <v>0</v>
      </c>
      <c r="S191" s="170">
        <f t="shared" si="143"/>
        <v>0</v>
      </c>
      <c r="T191" s="170">
        <f t="shared" si="144"/>
        <v>0</v>
      </c>
      <c r="U191" s="180">
        <f t="shared" si="137"/>
        <v>0</v>
      </c>
      <c r="V191" s="180">
        <f t="shared" si="138"/>
        <v>0</v>
      </c>
      <c r="W191" s="180">
        <f t="shared" si="139"/>
        <v>0</v>
      </c>
    </row>
    <row r="192" spans="2:23" x14ac:dyDescent="0.35">
      <c r="B192" s="164">
        <v>211131</v>
      </c>
      <c r="C192" s="100" t="s">
        <v>145</v>
      </c>
      <c r="D192" s="106" t="s">
        <v>225</v>
      </c>
      <c r="E192" s="208">
        <v>0</v>
      </c>
      <c r="F192" s="208">
        <v>0</v>
      </c>
      <c r="G192" s="208">
        <v>0</v>
      </c>
      <c r="H192" s="208">
        <v>0</v>
      </c>
      <c r="I192" s="208">
        <v>0</v>
      </c>
      <c r="J192" s="208">
        <v>0</v>
      </c>
      <c r="K192" s="170">
        <f t="shared" si="140"/>
        <v>0</v>
      </c>
      <c r="L192" s="170">
        <f t="shared" si="133"/>
        <v>0</v>
      </c>
      <c r="M192" s="170">
        <f t="shared" si="141"/>
        <v>0</v>
      </c>
      <c r="N192" s="208">
        <v>0</v>
      </c>
      <c r="O192" s="208">
        <v>0</v>
      </c>
      <c r="P192" s="208">
        <v>0</v>
      </c>
      <c r="Q192" s="208">
        <v>0</v>
      </c>
      <c r="R192" s="170">
        <f t="shared" si="142"/>
        <v>0</v>
      </c>
      <c r="S192" s="170">
        <f t="shared" si="143"/>
        <v>0</v>
      </c>
      <c r="T192" s="170">
        <f t="shared" si="144"/>
        <v>0</v>
      </c>
      <c r="U192" s="180">
        <f t="shared" si="137"/>
        <v>0</v>
      </c>
      <c r="V192" s="180">
        <f t="shared" si="138"/>
        <v>0</v>
      </c>
      <c r="W192" s="180">
        <f t="shared" si="139"/>
        <v>0</v>
      </c>
    </row>
    <row r="193" spans="2:23" x14ac:dyDescent="0.35">
      <c r="B193" s="164">
        <v>211132</v>
      </c>
      <c r="C193" s="100" t="s">
        <v>145</v>
      </c>
      <c r="D193" s="106" t="s">
        <v>226</v>
      </c>
      <c r="E193" s="208">
        <v>0</v>
      </c>
      <c r="F193" s="208">
        <v>0</v>
      </c>
      <c r="G193" s="208">
        <v>0</v>
      </c>
      <c r="H193" s="208">
        <v>0</v>
      </c>
      <c r="I193" s="208">
        <v>0</v>
      </c>
      <c r="J193" s="208">
        <v>0</v>
      </c>
      <c r="K193" s="170">
        <f t="shared" si="140"/>
        <v>0</v>
      </c>
      <c r="L193" s="170">
        <f t="shared" si="133"/>
        <v>0</v>
      </c>
      <c r="M193" s="170">
        <f t="shared" si="141"/>
        <v>0</v>
      </c>
      <c r="N193" s="208">
        <v>0</v>
      </c>
      <c r="O193" s="208">
        <v>0</v>
      </c>
      <c r="P193" s="208">
        <v>0</v>
      </c>
      <c r="Q193" s="208">
        <v>0</v>
      </c>
      <c r="R193" s="170">
        <f t="shared" si="142"/>
        <v>0</v>
      </c>
      <c r="S193" s="170">
        <f t="shared" si="143"/>
        <v>0</v>
      </c>
      <c r="T193" s="170">
        <f t="shared" si="144"/>
        <v>0</v>
      </c>
      <c r="U193" s="180">
        <f t="shared" si="137"/>
        <v>0</v>
      </c>
      <c r="V193" s="180">
        <f t="shared" si="138"/>
        <v>0</v>
      </c>
      <c r="W193" s="180">
        <f t="shared" si="139"/>
        <v>0</v>
      </c>
    </row>
    <row r="194" spans="2:23" x14ac:dyDescent="0.35">
      <c r="B194" s="164">
        <v>211134</v>
      </c>
      <c r="C194" s="100" t="s">
        <v>145</v>
      </c>
      <c r="D194" s="106" t="s">
        <v>227</v>
      </c>
      <c r="E194" s="208">
        <v>0</v>
      </c>
      <c r="F194" s="208">
        <v>0</v>
      </c>
      <c r="G194" s="208">
        <v>0</v>
      </c>
      <c r="H194" s="208">
        <v>0</v>
      </c>
      <c r="I194" s="208">
        <v>0</v>
      </c>
      <c r="J194" s="208">
        <v>0</v>
      </c>
      <c r="K194" s="170">
        <f t="shared" si="140"/>
        <v>0</v>
      </c>
      <c r="L194" s="170">
        <f t="shared" si="133"/>
        <v>0</v>
      </c>
      <c r="M194" s="170">
        <f t="shared" si="141"/>
        <v>0</v>
      </c>
      <c r="N194" s="208">
        <v>0</v>
      </c>
      <c r="O194" s="208">
        <v>0</v>
      </c>
      <c r="P194" s="208">
        <v>0</v>
      </c>
      <c r="Q194" s="208">
        <v>0</v>
      </c>
      <c r="R194" s="170">
        <f t="shared" si="142"/>
        <v>0</v>
      </c>
      <c r="S194" s="170">
        <f t="shared" si="143"/>
        <v>0</v>
      </c>
      <c r="T194" s="170">
        <f t="shared" si="144"/>
        <v>0</v>
      </c>
      <c r="U194" s="180">
        <f t="shared" si="137"/>
        <v>0</v>
      </c>
      <c r="V194" s="180">
        <f t="shared" si="138"/>
        <v>0</v>
      </c>
      <c r="W194" s="180">
        <f t="shared" si="139"/>
        <v>0</v>
      </c>
    </row>
    <row r="195" spans="2:23" x14ac:dyDescent="0.35">
      <c r="B195" s="164">
        <v>211135</v>
      </c>
      <c r="C195" s="100" t="s">
        <v>145</v>
      </c>
      <c r="D195" s="106" t="s">
        <v>228</v>
      </c>
      <c r="E195" s="208">
        <v>0</v>
      </c>
      <c r="F195" s="208">
        <v>0</v>
      </c>
      <c r="G195" s="208">
        <v>0</v>
      </c>
      <c r="H195" s="208">
        <v>0</v>
      </c>
      <c r="I195" s="208">
        <v>0</v>
      </c>
      <c r="J195" s="208">
        <v>0</v>
      </c>
      <c r="K195" s="170">
        <f t="shared" si="140"/>
        <v>0</v>
      </c>
      <c r="L195" s="170">
        <f t="shared" si="133"/>
        <v>0</v>
      </c>
      <c r="M195" s="170">
        <f t="shared" si="141"/>
        <v>0</v>
      </c>
      <c r="N195" s="208">
        <v>0</v>
      </c>
      <c r="O195" s="208">
        <v>0</v>
      </c>
      <c r="P195" s="208">
        <v>0</v>
      </c>
      <c r="Q195" s="208">
        <v>0</v>
      </c>
      <c r="R195" s="170">
        <f t="shared" si="142"/>
        <v>0</v>
      </c>
      <c r="S195" s="170">
        <f t="shared" si="143"/>
        <v>0</v>
      </c>
      <c r="T195" s="170">
        <f t="shared" si="144"/>
        <v>0</v>
      </c>
      <c r="U195" s="180">
        <f t="shared" si="137"/>
        <v>0</v>
      </c>
      <c r="V195" s="180">
        <f t="shared" si="138"/>
        <v>0</v>
      </c>
      <c r="W195" s="180">
        <f t="shared" si="139"/>
        <v>0</v>
      </c>
    </row>
    <row r="196" spans="2:23" x14ac:dyDescent="0.35">
      <c r="B196" s="164">
        <v>211136</v>
      </c>
      <c r="C196" s="100" t="s">
        <v>145</v>
      </c>
      <c r="D196" s="106" t="s">
        <v>229</v>
      </c>
      <c r="E196" s="208">
        <v>0</v>
      </c>
      <c r="F196" s="208">
        <v>0</v>
      </c>
      <c r="G196" s="208">
        <v>0</v>
      </c>
      <c r="H196" s="208">
        <v>0</v>
      </c>
      <c r="I196" s="208">
        <v>0</v>
      </c>
      <c r="J196" s="208">
        <v>0</v>
      </c>
      <c r="K196" s="170">
        <f t="shared" si="140"/>
        <v>0</v>
      </c>
      <c r="L196" s="170">
        <f t="shared" si="133"/>
        <v>0</v>
      </c>
      <c r="M196" s="170">
        <f t="shared" si="141"/>
        <v>0</v>
      </c>
      <c r="N196" s="208">
        <v>0</v>
      </c>
      <c r="O196" s="208">
        <v>0</v>
      </c>
      <c r="P196" s="208">
        <v>0</v>
      </c>
      <c r="Q196" s="208">
        <v>0</v>
      </c>
      <c r="R196" s="170">
        <f t="shared" si="142"/>
        <v>0</v>
      </c>
      <c r="S196" s="170">
        <f t="shared" si="143"/>
        <v>0</v>
      </c>
      <c r="T196" s="170">
        <f t="shared" si="144"/>
        <v>0</v>
      </c>
      <c r="U196" s="180">
        <f t="shared" si="137"/>
        <v>0</v>
      </c>
      <c r="V196" s="180">
        <f t="shared" si="138"/>
        <v>0</v>
      </c>
      <c r="W196" s="180">
        <f t="shared" si="139"/>
        <v>0</v>
      </c>
    </row>
    <row r="197" spans="2:23" x14ac:dyDescent="0.35">
      <c r="B197" s="164">
        <v>211137</v>
      </c>
      <c r="C197" s="100" t="s">
        <v>145</v>
      </c>
      <c r="D197" s="106" t="s">
        <v>230</v>
      </c>
      <c r="E197" s="208">
        <v>0</v>
      </c>
      <c r="F197" s="208">
        <v>0</v>
      </c>
      <c r="G197" s="208">
        <v>0</v>
      </c>
      <c r="H197" s="208">
        <v>0</v>
      </c>
      <c r="I197" s="208">
        <v>0</v>
      </c>
      <c r="J197" s="208">
        <v>0</v>
      </c>
      <c r="K197" s="170">
        <f t="shared" si="140"/>
        <v>0</v>
      </c>
      <c r="L197" s="170">
        <f t="shared" si="133"/>
        <v>0</v>
      </c>
      <c r="M197" s="170">
        <f t="shared" si="141"/>
        <v>0</v>
      </c>
      <c r="N197" s="208">
        <v>0</v>
      </c>
      <c r="O197" s="208">
        <v>0</v>
      </c>
      <c r="P197" s="208">
        <v>0</v>
      </c>
      <c r="Q197" s="208">
        <v>0</v>
      </c>
      <c r="R197" s="170">
        <f t="shared" si="142"/>
        <v>0</v>
      </c>
      <c r="S197" s="170">
        <f t="shared" si="143"/>
        <v>0</v>
      </c>
      <c r="T197" s="170">
        <f t="shared" si="144"/>
        <v>0</v>
      </c>
      <c r="U197" s="180">
        <f t="shared" si="137"/>
        <v>0</v>
      </c>
      <c r="V197" s="180">
        <f t="shared" si="138"/>
        <v>0</v>
      </c>
      <c r="W197" s="180">
        <f t="shared" si="139"/>
        <v>0</v>
      </c>
    </row>
    <row r="198" spans="2:23" x14ac:dyDescent="0.35">
      <c r="B198" s="164">
        <v>211138</v>
      </c>
      <c r="C198" s="100" t="s">
        <v>145</v>
      </c>
      <c r="D198" s="106" t="s">
        <v>231</v>
      </c>
      <c r="E198" s="208">
        <v>0</v>
      </c>
      <c r="F198" s="208">
        <v>0</v>
      </c>
      <c r="G198" s="208">
        <v>0</v>
      </c>
      <c r="H198" s="208">
        <v>0</v>
      </c>
      <c r="I198" s="208">
        <v>0</v>
      </c>
      <c r="J198" s="208">
        <v>0</v>
      </c>
      <c r="K198" s="170">
        <f t="shared" si="140"/>
        <v>0</v>
      </c>
      <c r="L198" s="170">
        <f t="shared" si="133"/>
        <v>0</v>
      </c>
      <c r="M198" s="170">
        <f t="shared" si="141"/>
        <v>0</v>
      </c>
      <c r="N198" s="208">
        <v>0</v>
      </c>
      <c r="O198" s="208">
        <v>0</v>
      </c>
      <c r="P198" s="208">
        <v>0</v>
      </c>
      <c r="Q198" s="208">
        <v>0</v>
      </c>
      <c r="R198" s="170">
        <f t="shared" si="142"/>
        <v>0</v>
      </c>
      <c r="S198" s="170">
        <f t="shared" si="143"/>
        <v>0</v>
      </c>
      <c r="T198" s="170">
        <f t="shared" si="144"/>
        <v>0</v>
      </c>
      <c r="U198" s="180">
        <f t="shared" si="137"/>
        <v>0</v>
      </c>
      <c r="V198" s="180">
        <f t="shared" si="138"/>
        <v>0</v>
      </c>
      <c r="W198" s="180">
        <f t="shared" si="139"/>
        <v>0</v>
      </c>
    </row>
    <row r="199" spans="2:23" x14ac:dyDescent="0.35">
      <c r="B199" s="164">
        <v>211139</v>
      </c>
      <c r="C199" s="100" t="s">
        <v>145</v>
      </c>
      <c r="D199" s="106" t="s">
        <v>161</v>
      </c>
      <c r="E199" s="208">
        <v>0</v>
      </c>
      <c r="F199" s="208">
        <v>0</v>
      </c>
      <c r="G199" s="208">
        <v>0</v>
      </c>
      <c r="H199" s="208">
        <v>0</v>
      </c>
      <c r="I199" s="208">
        <v>0</v>
      </c>
      <c r="J199" s="208">
        <v>0</v>
      </c>
      <c r="K199" s="170">
        <f t="shared" si="140"/>
        <v>0</v>
      </c>
      <c r="L199" s="170">
        <f t="shared" si="133"/>
        <v>0</v>
      </c>
      <c r="M199" s="170">
        <f t="shared" si="141"/>
        <v>0</v>
      </c>
      <c r="N199" s="208">
        <v>0</v>
      </c>
      <c r="O199" s="208">
        <v>0</v>
      </c>
      <c r="P199" s="208">
        <v>0</v>
      </c>
      <c r="Q199" s="208">
        <v>0</v>
      </c>
      <c r="R199" s="170">
        <f t="shared" si="142"/>
        <v>0</v>
      </c>
      <c r="S199" s="170">
        <f t="shared" si="143"/>
        <v>0</v>
      </c>
      <c r="T199" s="170">
        <f t="shared" si="144"/>
        <v>0</v>
      </c>
      <c r="U199" s="180">
        <f t="shared" si="137"/>
        <v>0</v>
      </c>
      <c r="V199" s="180">
        <f t="shared" si="138"/>
        <v>0</v>
      </c>
      <c r="W199" s="180">
        <f t="shared" si="139"/>
        <v>0</v>
      </c>
    </row>
    <row r="200" spans="2:23" x14ac:dyDescent="0.35">
      <c r="B200" s="164">
        <v>211140</v>
      </c>
      <c r="C200" s="100" t="s">
        <v>145</v>
      </c>
      <c r="D200" s="106" t="s">
        <v>162</v>
      </c>
      <c r="E200" s="208">
        <v>2154964.6399999997</v>
      </c>
      <c r="F200" s="208">
        <v>0</v>
      </c>
      <c r="G200" s="208">
        <v>2154964.6399999997</v>
      </c>
      <c r="H200" s="208">
        <v>0</v>
      </c>
      <c r="I200" s="208">
        <v>0</v>
      </c>
      <c r="J200" s="208">
        <v>1417168.21</v>
      </c>
      <c r="K200" s="170">
        <f t="shared" si="140"/>
        <v>1417168.21</v>
      </c>
      <c r="L200" s="170">
        <f t="shared" si="133"/>
        <v>0</v>
      </c>
      <c r="M200" s="170">
        <f t="shared" si="141"/>
        <v>0</v>
      </c>
      <c r="N200" s="208">
        <v>0</v>
      </c>
      <c r="O200" s="208">
        <v>0</v>
      </c>
      <c r="P200" s="208">
        <v>0</v>
      </c>
      <c r="Q200" s="208">
        <v>0</v>
      </c>
      <c r="R200" s="170">
        <f t="shared" si="142"/>
        <v>737796.4299999997</v>
      </c>
      <c r="S200" s="170">
        <f t="shared" si="143"/>
        <v>737796.4299999997</v>
      </c>
      <c r="T200" s="170">
        <f t="shared" si="144"/>
        <v>0</v>
      </c>
      <c r="U200" s="180">
        <f t="shared" si="137"/>
        <v>0</v>
      </c>
      <c r="V200" s="180">
        <f t="shared" si="138"/>
        <v>0</v>
      </c>
      <c r="W200" s="180">
        <f t="shared" si="139"/>
        <v>1417168.21</v>
      </c>
    </row>
    <row r="201" spans="2:23" x14ac:dyDescent="0.35">
      <c r="B201" s="164">
        <v>211141</v>
      </c>
      <c r="C201" s="100" t="s">
        <v>145</v>
      </c>
      <c r="D201" s="106" t="s">
        <v>232</v>
      </c>
      <c r="E201" s="208">
        <v>0</v>
      </c>
      <c r="F201" s="208">
        <v>0</v>
      </c>
      <c r="G201" s="208">
        <v>0</v>
      </c>
      <c r="H201" s="208">
        <v>0</v>
      </c>
      <c r="I201" s="208">
        <v>0</v>
      </c>
      <c r="J201" s="208">
        <v>0</v>
      </c>
      <c r="K201" s="170">
        <f t="shared" si="140"/>
        <v>0</v>
      </c>
      <c r="L201" s="170">
        <f t="shared" si="133"/>
        <v>0</v>
      </c>
      <c r="M201" s="170">
        <f t="shared" si="141"/>
        <v>0</v>
      </c>
      <c r="N201" s="208">
        <v>0</v>
      </c>
      <c r="O201" s="208">
        <v>0</v>
      </c>
      <c r="P201" s="208">
        <v>0</v>
      </c>
      <c r="Q201" s="208">
        <v>0</v>
      </c>
      <c r="R201" s="170">
        <f t="shared" si="142"/>
        <v>0</v>
      </c>
      <c r="S201" s="170">
        <f t="shared" si="143"/>
        <v>0</v>
      </c>
      <c r="T201" s="170">
        <f t="shared" si="144"/>
        <v>0</v>
      </c>
      <c r="U201" s="180">
        <f t="shared" si="137"/>
        <v>0</v>
      </c>
      <c r="V201" s="180">
        <f t="shared" si="138"/>
        <v>0</v>
      </c>
      <c r="W201" s="180">
        <f t="shared" si="139"/>
        <v>0</v>
      </c>
    </row>
    <row r="202" spans="2:23" x14ac:dyDescent="0.35">
      <c r="B202" s="164">
        <v>211142</v>
      </c>
      <c r="C202" s="100" t="s">
        <v>145</v>
      </c>
      <c r="D202" s="106" t="s">
        <v>163</v>
      </c>
      <c r="E202" s="208">
        <v>0</v>
      </c>
      <c r="F202" s="208">
        <v>0</v>
      </c>
      <c r="G202" s="208">
        <v>0</v>
      </c>
      <c r="H202" s="208">
        <v>0</v>
      </c>
      <c r="I202" s="208">
        <v>0</v>
      </c>
      <c r="J202" s="208">
        <v>0</v>
      </c>
      <c r="K202" s="170">
        <f t="shared" si="140"/>
        <v>0</v>
      </c>
      <c r="L202" s="170">
        <f t="shared" si="133"/>
        <v>0</v>
      </c>
      <c r="M202" s="170">
        <f t="shared" si="141"/>
        <v>0</v>
      </c>
      <c r="N202" s="208">
        <v>0</v>
      </c>
      <c r="O202" s="208">
        <v>0</v>
      </c>
      <c r="P202" s="208">
        <v>0</v>
      </c>
      <c r="Q202" s="208">
        <v>0</v>
      </c>
      <c r="R202" s="170">
        <f t="shared" si="142"/>
        <v>0</v>
      </c>
      <c r="S202" s="170">
        <f t="shared" si="143"/>
        <v>0</v>
      </c>
      <c r="T202" s="170">
        <f t="shared" si="144"/>
        <v>0</v>
      </c>
      <c r="U202" s="180">
        <f t="shared" si="137"/>
        <v>0</v>
      </c>
      <c r="V202" s="180">
        <f t="shared" si="138"/>
        <v>0</v>
      </c>
      <c r="W202" s="180">
        <f t="shared" si="139"/>
        <v>0</v>
      </c>
    </row>
    <row r="203" spans="2:23" x14ac:dyDescent="0.35">
      <c r="B203" s="164">
        <v>211143</v>
      </c>
      <c r="C203" s="100" t="s">
        <v>145</v>
      </c>
      <c r="D203" s="106" t="s">
        <v>233</v>
      </c>
      <c r="E203" s="208">
        <v>0</v>
      </c>
      <c r="F203" s="208">
        <v>0</v>
      </c>
      <c r="G203" s="208">
        <v>0</v>
      </c>
      <c r="H203" s="208">
        <v>0</v>
      </c>
      <c r="I203" s="208">
        <v>0</v>
      </c>
      <c r="J203" s="208">
        <v>0</v>
      </c>
      <c r="K203" s="170">
        <f t="shared" si="140"/>
        <v>0</v>
      </c>
      <c r="L203" s="170">
        <f t="shared" si="133"/>
        <v>0</v>
      </c>
      <c r="M203" s="170">
        <f t="shared" si="141"/>
        <v>0</v>
      </c>
      <c r="N203" s="208">
        <v>0</v>
      </c>
      <c r="O203" s="208">
        <v>0</v>
      </c>
      <c r="P203" s="208">
        <v>0</v>
      </c>
      <c r="Q203" s="208">
        <v>0</v>
      </c>
      <c r="R203" s="170">
        <f t="shared" si="142"/>
        <v>0</v>
      </c>
      <c r="S203" s="170">
        <f t="shared" si="143"/>
        <v>0</v>
      </c>
      <c r="T203" s="170">
        <f t="shared" si="144"/>
        <v>0</v>
      </c>
      <c r="U203" s="180">
        <f t="shared" si="137"/>
        <v>0</v>
      </c>
      <c r="V203" s="180">
        <f t="shared" si="138"/>
        <v>0</v>
      </c>
      <c r="W203" s="180">
        <f t="shared" si="139"/>
        <v>0</v>
      </c>
    </row>
    <row r="204" spans="2:23" x14ac:dyDescent="0.35">
      <c r="B204" s="164">
        <v>211144</v>
      </c>
      <c r="C204" s="100" t="s">
        <v>145</v>
      </c>
      <c r="D204" s="106" t="s">
        <v>164</v>
      </c>
      <c r="E204" s="208">
        <v>0</v>
      </c>
      <c r="F204" s="208">
        <v>0</v>
      </c>
      <c r="G204" s="208">
        <v>0</v>
      </c>
      <c r="H204" s="208">
        <v>0</v>
      </c>
      <c r="I204" s="208">
        <v>0</v>
      </c>
      <c r="J204" s="208">
        <v>0</v>
      </c>
      <c r="K204" s="170">
        <f t="shared" si="140"/>
        <v>0</v>
      </c>
      <c r="L204" s="170">
        <f t="shared" si="133"/>
        <v>0</v>
      </c>
      <c r="M204" s="170">
        <f t="shared" si="141"/>
        <v>0</v>
      </c>
      <c r="N204" s="208">
        <v>0</v>
      </c>
      <c r="O204" s="208">
        <v>0</v>
      </c>
      <c r="P204" s="208">
        <v>0</v>
      </c>
      <c r="Q204" s="208">
        <v>0</v>
      </c>
      <c r="R204" s="170">
        <f t="shared" si="142"/>
        <v>0</v>
      </c>
      <c r="S204" s="170">
        <f t="shared" si="143"/>
        <v>0</v>
      </c>
      <c r="T204" s="170">
        <f t="shared" si="144"/>
        <v>0</v>
      </c>
      <c r="U204" s="180">
        <f t="shared" si="137"/>
        <v>0</v>
      </c>
      <c r="V204" s="180">
        <f t="shared" si="138"/>
        <v>0</v>
      </c>
      <c r="W204" s="180">
        <f t="shared" si="139"/>
        <v>0</v>
      </c>
    </row>
    <row r="205" spans="2:23" x14ac:dyDescent="0.35">
      <c r="B205" s="164">
        <v>211145</v>
      </c>
      <c r="C205" s="100" t="s">
        <v>145</v>
      </c>
      <c r="D205" s="106" t="s">
        <v>349</v>
      </c>
      <c r="E205" s="208">
        <v>9273.4599999999627</v>
      </c>
      <c r="F205" s="208">
        <v>0</v>
      </c>
      <c r="G205" s="208">
        <v>9273.4599999999627</v>
      </c>
      <c r="H205" s="208">
        <v>0</v>
      </c>
      <c r="I205" s="208">
        <v>0</v>
      </c>
      <c r="J205" s="208">
        <v>67569.03</v>
      </c>
      <c r="K205" s="170">
        <f t="shared" si="140"/>
        <v>67569.03</v>
      </c>
      <c r="L205" s="170">
        <f t="shared" si="133"/>
        <v>0</v>
      </c>
      <c r="M205" s="170">
        <f t="shared" si="141"/>
        <v>0</v>
      </c>
      <c r="N205" s="208">
        <v>0</v>
      </c>
      <c r="O205" s="208">
        <v>0</v>
      </c>
      <c r="P205" s="208">
        <v>0</v>
      </c>
      <c r="Q205" s="208">
        <v>0</v>
      </c>
      <c r="R205" s="170">
        <f t="shared" si="142"/>
        <v>-58295.570000000036</v>
      </c>
      <c r="S205" s="170">
        <f t="shared" si="143"/>
        <v>-58295.570000000036</v>
      </c>
      <c r="T205" s="170">
        <f t="shared" si="144"/>
        <v>0</v>
      </c>
      <c r="U205" s="180">
        <f t="shared" si="137"/>
        <v>0</v>
      </c>
      <c r="V205" s="180">
        <f t="shared" si="138"/>
        <v>0</v>
      </c>
      <c r="W205" s="180">
        <f t="shared" si="139"/>
        <v>67569.03</v>
      </c>
    </row>
    <row r="206" spans="2:23" x14ac:dyDescent="0.35">
      <c r="B206" s="164">
        <v>211146</v>
      </c>
      <c r="C206" s="100" t="s">
        <v>145</v>
      </c>
      <c r="D206" s="106" t="s">
        <v>165</v>
      </c>
      <c r="E206" s="208">
        <v>222100</v>
      </c>
      <c r="F206" s="208">
        <v>0</v>
      </c>
      <c r="G206" s="208">
        <v>222100</v>
      </c>
      <c r="H206" s="208">
        <v>0</v>
      </c>
      <c r="I206" s="208">
        <v>0</v>
      </c>
      <c r="J206" s="208">
        <v>221340.63</v>
      </c>
      <c r="K206" s="170">
        <f t="shared" si="140"/>
        <v>221340.63</v>
      </c>
      <c r="L206" s="170">
        <f t="shared" si="133"/>
        <v>0</v>
      </c>
      <c r="M206" s="170">
        <f t="shared" si="141"/>
        <v>0</v>
      </c>
      <c r="N206" s="208">
        <v>0</v>
      </c>
      <c r="O206" s="208">
        <v>0</v>
      </c>
      <c r="P206" s="208">
        <v>0</v>
      </c>
      <c r="Q206" s="208">
        <v>0</v>
      </c>
      <c r="R206" s="170">
        <f t="shared" si="142"/>
        <v>759.36999999999534</v>
      </c>
      <c r="S206" s="170">
        <f t="shared" si="143"/>
        <v>759.36999999999534</v>
      </c>
      <c r="T206" s="170">
        <f t="shared" si="144"/>
        <v>0</v>
      </c>
      <c r="U206" s="180">
        <f t="shared" si="137"/>
        <v>0</v>
      </c>
      <c r="V206" s="180">
        <f t="shared" si="138"/>
        <v>0</v>
      </c>
      <c r="W206" s="180">
        <f t="shared" ref="W206:W237" si="145">J206+N206</f>
        <v>221340.63</v>
      </c>
    </row>
    <row r="207" spans="2:23" x14ac:dyDescent="0.35">
      <c r="B207" s="164">
        <v>211147</v>
      </c>
      <c r="C207" s="100" t="s">
        <v>145</v>
      </c>
      <c r="D207" s="106" t="s">
        <v>166</v>
      </c>
      <c r="E207" s="208">
        <v>184115</v>
      </c>
      <c r="F207" s="208">
        <v>0</v>
      </c>
      <c r="G207" s="208">
        <v>184115</v>
      </c>
      <c r="H207" s="208">
        <v>0</v>
      </c>
      <c r="I207" s="208">
        <v>0</v>
      </c>
      <c r="J207" s="208">
        <v>184115</v>
      </c>
      <c r="K207" s="170">
        <f t="shared" si="140"/>
        <v>184115</v>
      </c>
      <c r="L207" s="170">
        <f t="shared" si="133"/>
        <v>0</v>
      </c>
      <c r="M207" s="170">
        <f t="shared" si="141"/>
        <v>0</v>
      </c>
      <c r="N207" s="208">
        <v>0</v>
      </c>
      <c r="O207" s="208">
        <v>0</v>
      </c>
      <c r="P207" s="208">
        <v>0</v>
      </c>
      <c r="Q207" s="208">
        <v>0</v>
      </c>
      <c r="R207" s="170">
        <f t="shared" si="142"/>
        <v>0</v>
      </c>
      <c r="S207" s="170">
        <f t="shared" si="143"/>
        <v>0</v>
      </c>
      <c r="T207" s="170">
        <f t="shared" si="144"/>
        <v>0</v>
      </c>
      <c r="U207" s="180">
        <f t="shared" si="137"/>
        <v>0</v>
      </c>
      <c r="V207" s="180">
        <f t="shared" si="138"/>
        <v>0</v>
      </c>
      <c r="W207" s="180">
        <f t="shared" si="145"/>
        <v>184115</v>
      </c>
    </row>
    <row r="208" spans="2:23" x14ac:dyDescent="0.35">
      <c r="B208" s="164">
        <v>211148</v>
      </c>
      <c r="C208" s="100" t="s">
        <v>145</v>
      </c>
      <c r="D208" s="106" t="s">
        <v>167</v>
      </c>
      <c r="E208" s="208">
        <v>31526.719999999739</v>
      </c>
      <c r="F208" s="208">
        <v>0</v>
      </c>
      <c r="G208" s="208">
        <v>31526.719999999739</v>
      </c>
      <c r="H208" s="208">
        <v>0</v>
      </c>
      <c r="I208" s="208">
        <v>0</v>
      </c>
      <c r="J208" s="208">
        <v>0</v>
      </c>
      <c r="K208" s="170">
        <f t="shared" si="140"/>
        <v>0</v>
      </c>
      <c r="L208" s="170">
        <f t="shared" si="133"/>
        <v>0</v>
      </c>
      <c r="M208" s="170">
        <f t="shared" si="141"/>
        <v>0</v>
      </c>
      <c r="N208" s="208">
        <v>0</v>
      </c>
      <c r="O208" s="208">
        <v>0</v>
      </c>
      <c r="P208" s="208">
        <v>0</v>
      </c>
      <c r="Q208" s="208">
        <v>0</v>
      </c>
      <c r="R208" s="170">
        <f t="shared" si="142"/>
        <v>31526.719999999739</v>
      </c>
      <c r="S208" s="170">
        <f t="shared" si="143"/>
        <v>31526.719999999739</v>
      </c>
      <c r="T208" s="170">
        <f t="shared" si="144"/>
        <v>0</v>
      </c>
      <c r="U208" s="180">
        <f t="shared" si="137"/>
        <v>0</v>
      </c>
      <c r="V208" s="180">
        <f t="shared" si="138"/>
        <v>0</v>
      </c>
      <c r="W208" s="180">
        <f t="shared" si="145"/>
        <v>0</v>
      </c>
    </row>
    <row r="209" spans="2:23" x14ac:dyDescent="0.35">
      <c r="B209" s="164">
        <v>211149</v>
      </c>
      <c r="C209" s="100" t="s">
        <v>145</v>
      </c>
      <c r="D209" s="106" t="s">
        <v>234</v>
      </c>
      <c r="E209" s="208">
        <v>0</v>
      </c>
      <c r="F209" s="208">
        <v>0</v>
      </c>
      <c r="G209" s="208">
        <v>0</v>
      </c>
      <c r="H209" s="208">
        <v>0</v>
      </c>
      <c r="I209" s="208">
        <v>0</v>
      </c>
      <c r="J209" s="208">
        <v>0</v>
      </c>
      <c r="K209" s="170">
        <f t="shared" si="140"/>
        <v>0</v>
      </c>
      <c r="L209" s="170">
        <f t="shared" si="133"/>
        <v>0</v>
      </c>
      <c r="M209" s="170">
        <f t="shared" si="141"/>
        <v>0</v>
      </c>
      <c r="N209" s="208">
        <v>0</v>
      </c>
      <c r="O209" s="208">
        <v>0</v>
      </c>
      <c r="P209" s="208">
        <v>0</v>
      </c>
      <c r="Q209" s="208">
        <v>0</v>
      </c>
      <c r="R209" s="170">
        <f t="shared" si="142"/>
        <v>0</v>
      </c>
      <c r="S209" s="170">
        <f t="shared" si="143"/>
        <v>0</v>
      </c>
      <c r="T209" s="170">
        <f t="shared" si="144"/>
        <v>0</v>
      </c>
      <c r="U209" s="180">
        <f t="shared" si="137"/>
        <v>0</v>
      </c>
      <c r="V209" s="180">
        <f t="shared" si="138"/>
        <v>0</v>
      </c>
      <c r="W209" s="180">
        <f t="shared" si="145"/>
        <v>0</v>
      </c>
    </row>
    <row r="210" spans="2:23" x14ac:dyDescent="0.35">
      <c r="B210" s="164">
        <v>211150</v>
      </c>
      <c r="C210" s="100" t="s">
        <v>145</v>
      </c>
      <c r="D210" s="106" t="s">
        <v>168</v>
      </c>
      <c r="E210" s="208">
        <v>1490876.07</v>
      </c>
      <c r="F210" s="208">
        <v>0</v>
      </c>
      <c r="G210" s="208">
        <v>1490876.07</v>
      </c>
      <c r="H210" s="208">
        <v>0</v>
      </c>
      <c r="I210" s="208">
        <v>0</v>
      </c>
      <c r="J210" s="208">
        <v>1269604.92</v>
      </c>
      <c r="K210" s="170">
        <f t="shared" si="140"/>
        <v>1269604.92</v>
      </c>
      <c r="L210" s="170">
        <f t="shared" si="133"/>
        <v>0</v>
      </c>
      <c r="M210" s="170">
        <f t="shared" si="141"/>
        <v>0</v>
      </c>
      <c r="N210" s="208">
        <v>0</v>
      </c>
      <c r="O210" s="208">
        <v>0</v>
      </c>
      <c r="P210" s="208">
        <v>0</v>
      </c>
      <c r="Q210" s="208">
        <v>0</v>
      </c>
      <c r="R210" s="170">
        <f t="shared" si="142"/>
        <v>221271.15000000014</v>
      </c>
      <c r="S210" s="170">
        <f t="shared" si="143"/>
        <v>221271.15000000014</v>
      </c>
      <c r="T210" s="170">
        <f t="shared" si="144"/>
        <v>0</v>
      </c>
      <c r="U210" s="180">
        <f t="shared" si="137"/>
        <v>0</v>
      </c>
      <c r="V210" s="180">
        <f t="shared" si="138"/>
        <v>0</v>
      </c>
      <c r="W210" s="180">
        <f t="shared" si="145"/>
        <v>1269604.92</v>
      </c>
    </row>
    <row r="211" spans="2:23" x14ac:dyDescent="0.35">
      <c r="B211" s="164">
        <v>211151</v>
      </c>
      <c r="C211" s="100" t="s">
        <v>145</v>
      </c>
      <c r="D211" s="106" t="s">
        <v>235</v>
      </c>
      <c r="E211" s="208">
        <v>0</v>
      </c>
      <c r="F211" s="208">
        <v>0</v>
      </c>
      <c r="G211" s="208">
        <v>0</v>
      </c>
      <c r="H211" s="208">
        <v>0</v>
      </c>
      <c r="I211" s="208">
        <v>0</v>
      </c>
      <c r="J211" s="208">
        <v>0</v>
      </c>
      <c r="K211" s="170">
        <f t="shared" si="140"/>
        <v>0</v>
      </c>
      <c r="L211" s="170">
        <f t="shared" si="133"/>
        <v>0</v>
      </c>
      <c r="M211" s="170">
        <f t="shared" si="141"/>
        <v>0</v>
      </c>
      <c r="N211" s="208">
        <v>0</v>
      </c>
      <c r="O211" s="208">
        <v>0</v>
      </c>
      <c r="P211" s="208">
        <v>0</v>
      </c>
      <c r="Q211" s="208">
        <v>0</v>
      </c>
      <c r="R211" s="170">
        <f t="shared" si="142"/>
        <v>0</v>
      </c>
      <c r="S211" s="170">
        <f t="shared" si="143"/>
        <v>0</v>
      </c>
      <c r="T211" s="170">
        <f t="shared" si="144"/>
        <v>0</v>
      </c>
      <c r="U211" s="180">
        <f t="shared" si="137"/>
        <v>0</v>
      </c>
      <c r="V211" s="180">
        <f t="shared" si="138"/>
        <v>0</v>
      </c>
      <c r="W211" s="180">
        <f t="shared" si="145"/>
        <v>0</v>
      </c>
    </row>
    <row r="212" spans="2:23" x14ac:dyDescent="0.35">
      <c r="B212" s="164">
        <v>211152</v>
      </c>
      <c r="C212" s="100" t="s">
        <v>145</v>
      </c>
      <c r="D212" s="106" t="s">
        <v>169</v>
      </c>
      <c r="E212" s="208">
        <v>0</v>
      </c>
      <c r="F212" s="208">
        <v>0</v>
      </c>
      <c r="G212" s="208">
        <v>0</v>
      </c>
      <c r="H212" s="208">
        <v>0</v>
      </c>
      <c r="I212" s="208">
        <v>0</v>
      </c>
      <c r="J212" s="208">
        <v>0</v>
      </c>
      <c r="K212" s="170">
        <f t="shared" si="140"/>
        <v>0</v>
      </c>
      <c r="L212" s="170">
        <f t="shared" si="133"/>
        <v>0</v>
      </c>
      <c r="M212" s="170">
        <f t="shared" si="141"/>
        <v>0</v>
      </c>
      <c r="N212" s="208">
        <v>0</v>
      </c>
      <c r="O212" s="208">
        <v>0</v>
      </c>
      <c r="P212" s="208">
        <v>0</v>
      </c>
      <c r="Q212" s="208">
        <v>0</v>
      </c>
      <c r="R212" s="170">
        <f t="shared" si="142"/>
        <v>0</v>
      </c>
      <c r="S212" s="170">
        <f t="shared" si="143"/>
        <v>0</v>
      </c>
      <c r="T212" s="170">
        <f t="shared" si="144"/>
        <v>0</v>
      </c>
      <c r="U212" s="180">
        <f t="shared" si="137"/>
        <v>0</v>
      </c>
      <c r="V212" s="180">
        <f t="shared" si="138"/>
        <v>0</v>
      </c>
      <c r="W212" s="180">
        <f t="shared" si="145"/>
        <v>0</v>
      </c>
    </row>
    <row r="213" spans="2:23" x14ac:dyDescent="0.35">
      <c r="B213" s="164">
        <v>211153</v>
      </c>
      <c r="C213" s="100" t="s">
        <v>145</v>
      </c>
      <c r="D213" s="106" t="s">
        <v>170</v>
      </c>
      <c r="E213" s="208">
        <v>427650.28</v>
      </c>
      <c r="F213" s="208">
        <v>0</v>
      </c>
      <c r="G213" s="208">
        <v>427650.28</v>
      </c>
      <c r="H213" s="208">
        <v>0</v>
      </c>
      <c r="I213" s="208">
        <v>0</v>
      </c>
      <c r="J213" s="208">
        <v>161912.5</v>
      </c>
      <c r="K213" s="170">
        <f t="shared" si="140"/>
        <v>161912.5</v>
      </c>
      <c r="L213" s="170">
        <f t="shared" si="133"/>
        <v>0</v>
      </c>
      <c r="M213" s="170">
        <f t="shared" si="141"/>
        <v>0</v>
      </c>
      <c r="N213" s="208">
        <v>0</v>
      </c>
      <c r="O213" s="208">
        <v>0</v>
      </c>
      <c r="P213" s="208">
        <v>0</v>
      </c>
      <c r="Q213" s="208">
        <v>0</v>
      </c>
      <c r="R213" s="170">
        <f t="shared" si="142"/>
        <v>265737.78000000003</v>
      </c>
      <c r="S213" s="170">
        <f t="shared" si="143"/>
        <v>265737.78000000003</v>
      </c>
      <c r="T213" s="170">
        <f t="shared" si="144"/>
        <v>0</v>
      </c>
      <c r="U213" s="180">
        <f t="shared" si="137"/>
        <v>0</v>
      </c>
      <c r="V213" s="180">
        <f t="shared" si="138"/>
        <v>0</v>
      </c>
      <c r="W213" s="180">
        <f t="shared" si="145"/>
        <v>161912.5</v>
      </c>
    </row>
    <row r="214" spans="2:23" x14ac:dyDescent="0.35">
      <c r="B214" s="164">
        <v>211154</v>
      </c>
      <c r="C214" s="100" t="s">
        <v>145</v>
      </c>
      <c r="D214" s="106" t="s">
        <v>171</v>
      </c>
      <c r="E214" s="208">
        <v>0</v>
      </c>
      <c r="F214" s="208">
        <v>0</v>
      </c>
      <c r="G214" s="208">
        <v>0</v>
      </c>
      <c r="H214" s="208">
        <v>0</v>
      </c>
      <c r="I214" s="208">
        <v>0</v>
      </c>
      <c r="J214" s="208">
        <v>0</v>
      </c>
      <c r="K214" s="170">
        <f t="shared" si="140"/>
        <v>0</v>
      </c>
      <c r="L214" s="170">
        <f t="shared" si="133"/>
        <v>0</v>
      </c>
      <c r="M214" s="170">
        <f t="shared" si="141"/>
        <v>0</v>
      </c>
      <c r="N214" s="208">
        <v>0</v>
      </c>
      <c r="O214" s="208">
        <v>0</v>
      </c>
      <c r="P214" s="208">
        <v>0</v>
      </c>
      <c r="Q214" s="208">
        <v>0</v>
      </c>
      <c r="R214" s="170">
        <f t="shared" si="142"/>
        <v>0</v>
      </c>
      <c r="S214" s="170">
        <f t="shared" si="143"/>
        <v>0</v>
      </c>
      <c r="T214" s="170">
        <f t="shared" si="144"/>
        <v>0</v>
      </c>
      <c r="U214" s="180">
        <f t="shared" si="137"/>
        <v>0</v>
      </c>
      <c r="V214" s="180">
        <f t="shared" si="138"/>
        <v>0</v>
      </c>
      <c r="W214" s="180">
        <f t="shared" si="145"/>
        <v>0</v>
      </c>
    </row>
    <row r="215" spans="2:23" x14ac:dyDescent="0.35">
      <c r="B215" s="164">
        <v>211155</v>
      </c>
      <c r="C215" s="100" t="s">
        <v>145</v>
      </c>
      <c r="D215" s="106" t="s">
        <v>172</v>
      </c>
      <c r="E215" s="208">
        <v>0</v>
      </c>
      <c r="F215" s="208">
        <v>0</v>
      </c>
      <c r="G215" s="208">
        <v>0</v>
      </c>
      <c r="H215" s="208">
        <v>0</v>
      </c>
      <c r="I215" s="208">
        <v>0</v>
      </c>
      <c r="J215" s="208">
        <v>0</v>
      </c>
      <c r="K215" s="170">
        <f t="shared" si="140"/>
        <v>0</v>
      </c>
      <c r="L215" s="170">
        <f t="shared" si="133"/>
        <v>0</v>
      </c>
      <c r="M215" s="170">
        <f t="shared" si="141"/>
        <v>0</v>
      </c>
      <c r="N215" s="208">
        <v>0</v>
      </c>
      <c r="O215" s="208">
        <v>0</v>
      </c>
      <c r="P215" s="208">
        <v>0</v>
      </c>
      <c r="Q215" s="208">
        <v>0</v>
      </c>
      <c r="R215" s="170">
        <f t="shared" si="142"/>
        <v>0</v>
      </c>
      <c r="S215" s="170">
        <f t="shared" si="143"/>
        <v>0</v>
      </c>
      <c r="T215" s="170">
        <f t="shared" si="144"/>
        <v>0</v>
      </c>
      <c r="U215" s="180">
        <f t="shared" si="137"/>
        <v>0</v>
      </c>
      <c r="V215" s="180">
        <f t="shared" si="138"/>
        <v>0</v>
      </c>
      <c r="W215" s="180">
        <f t="shared" si="145"/>
        <v>0</v>
      </c>
    </row>
    <row r="216" spans="2:23" x14ac:dyDescent="0.35">
      <c r="B216" s="164">
        <v>211156</v>
      </c>
      <c r="C216" s="100" t="s">
        <v>145</v>
      </c>
      <c r="D216" s="106" t="s">
        <v>173</v>
      </c>
      <c r="E216" s="208">
        <v>10001</v>
      </c>
      <c r="F216" s="208">
        <v>0</v>
      </c>
      <c r="G216" s="208">
        <v>10001</v>
      </c>
      <c r="H216" s="208">
        <v>0</v>
      </c>
      <c r="I216" s="208">
        <v>0</v>
      </c>
      <c r="J216" s="208">
        <v>0</v>
      </c>
      <c r="K216" s="170">
        <f t="shared" si="140"/>
        <v>0</v>
      </c>
      <c r="L216" s="170">
        <f t="shared" si="133"/>
        <v>0</v>
      </c>
      <c r="M216" s="170">
        <f t="shared" si="141"/>
        <v>0</v>
      </c>
      <c r="N216" s="208">
        <v>0</v>
      </c>
      <c r="O216" s="208">
        <v>0</v>
      </c>
      <c r="P216" s="208">
        <v>0</v>
      </c>
      <c r="Q216" s="208">
        <v>0</v>
      </c>
      <c r="R216" s="170">
        <f t="shared" si="142"/>
        <v>10001</v>
      </c>
      <c r="S216" s="170">
        <f t="shared" si="143"/>
        <v>10001</v>
      </c>
      <c r="T216" s="170">
        <f t="shared" si="144"/>
        <v>0</v>
      </c>
      <c r="U216" s="180">
        <f t="shared" si="137"/>
        <v>0</v>
      </c>
      <c r="V216" s="180">
        <f t="shared" si="138"/>
        <v>0</v>
      </c>
      <c r="W216" s="180">
        <f t="shared" si="145"/>
        <v>0</v>
      </c>
    </row>
    <row r="217" spans="2:23" x14ac:dyDescent="0.35">
      <c r="B217" s="164">
        <v>211157</v>
      </c>
      <c r="C217" s="100" t="s">
        <v>145</v>
      </c>
      <c r="D217" s="106" t="s">
        <v>350</v>
      </c>
      <c r="E217" s="208">
        <v>20133.599999999977</v>
      </c>
      <c r="F217" s="208">
        <v>0</v>
      </c>
      <c r="G217" s="208">
        <v>20133.599999999977</v>
      </c>
      <c r="H217" s="208">
        <v>0</v>
      </c>
      <c r="I217" s="208">
        <v>0</v>
      </c>
      <c r="J217" s="208">
        <v>20133.599999999999</v>
      </c>
      <c r="K217" s="170">
        <f t="shared" si="140"/>
        <v>20133.599999999999</v>
      </c>
      <c r="L217" s="170">
        <f t="shared" si="133"/>
        <v>0</v>
      </c>
      <c r="M217" s="170">
        <f t="shared" si="141"/>
        <v>0</v>
      </c>
      <c r="N217" s="208">
        <v>0</v>
      </c>
      <c r="O217" s="208">
        <v>0</v>
      </c>
      <c r="P217" s="208">
        <v>0</v>
      </c>
      <c r="Q217" s="208">
        <v>0</v>
      </c>
      <c r="R217" s="170">
        <f t="shared" si="142"/>
        <v>-2.1827872842550278E-11</v>
      </c>
      <c r="S217" s="170">
        <f t="shared" si="143"/>
        <v>-2.1827872842550278E-11</v>
      </c>
      <c r="T217" s="170">
        <f t="shared" si="144"/>
        <v>0</v>
      </c>
      <c r="U217" s="180">
        <f t="shared" si="137"/>
        <v>0</v>
      </c>
      <c r="V217" s="180">
        <f t="shared" si="138"/>
        <v>0</v>
      </c>
      <c r="W217" s="180">
        <f t="shared" si="145"/>
        <v>20133.599999999999</v>
      </c>
    </row>
    <row r="218" spans="2:23" x14ac:dyDescent="0.35">
      <c r="B218" s="164">
        <v>211158</v>
      </c>
      <c r="C218" s="100" t="s">
        <v>145</v>
      </c>
      <c r="D218" s="106" t="s">
        <v>174</v>
      </c>
      <c r="E218" s="208">
        <v>71400</v>
      </c>
      <c r="F218" s="208">
        <v>0</v>
      </c>
      <c r="G218" s="208">
        <v>71400</v>
      </c>
      <c r="H218" s="208">
        <v>0</v>
      </c>
      <c r="I218" s="208">
        <v>0</v>
      </c>
      <c r="J218" s="208">
        <v>71400</v>
      </c>
      <c r="K218" s="170">
        <f t="shared" si="140"/>
        <v>71400</v>
      </c>
      <c r="L218" s="170">
        <f t="shared" si="133"/>
        <v>0</v>
      </c>
      <c r="M218" s="170">
        <f t="shared" si="141"/>
        <v>0</v>
      </c>
      <c r="N218" s="208">
        <v>0</v>
      </c>
      <c r="O218" s="208">
        <v>0</v>
      </c>
      <c r="P218" s="208">
        <v>0</v>
      </c>
      <c r="Q218" s="208">
        <v>0</v>
      </c>
      <c r="R218" s="170">
        <f t="shared" si="142"/>
        <v>0</v>
      </c>
      <c r="S218" s="170">
        <f t="shared" si="143"/>
        <v>0</v>
      </c>
      <c r="T218" s="170">
        <f t="shared" si="144"/>
        <v>0</v>
      </c>
      <c r="U218" s="180">
        <f t="shared" si="137"/>
        <v>0</v>
      </c>
      <c r="V218" s="180">
        <f t="shared" si="138"/>
        <v>0</v>
      </c>
      <c r="W218" s="180">
        <f t="shared" si="145"/>
        <v>71400</v>
      </c>
    </row>
    <row r="219" spans="2:23" x14ac:dyDescent="0.35">
      <c r="B219" s="164">
        <v>211159</v>
      </c>
      <c r="C219" s="100" t="s">
        <v>145</v>
      </c>
      <c r="D219" s="106" t="s">
        <v>236</v>
      </c>
      <c r="E219" s="208">
        <v>0</v>
      </c>
      <c r="F219" s="208">
        <v>0</v>
      </c>
      <c r="G219" s="208">
        <v>0</v>
      </c>
      <c r="H219" s="208">
        <v>0</v>
      </c>
      <c r="I219" s="208">
        <v>0</v>
      </c>
      <c r="J219" s="208">
        <v>0</v>
      </c>
      <c r="K219" s="170">
        <f t="shared" si="140"/>
        <v>0</v>
      </c>
      <c r="L219" s="170">
        <f t="shared" si="133"/>
        <v>0</v>
      </c>
      <c r="M219" s="170">
        <f t="shared" si="141"/>
        <v>0</v>
      </c>
      <c r="N219" s="208">
        <v>0</v>
      </c>
      <c r="O219" s="208">
        <v>0</v>
      </c>
      <c r="P219" s="208">
        <v>0</v>
      </c>
      <c r="Q219" s="208">
        <v>0</v>
      </c>
      <c r="R219" s="170">
        <f t="shared" si="142"/>
        <v>0</v>
      </c>
      <c r="S219" s="170">
        <f t="shared" si="143"/>
        <v>0</v>
      </c>
      <c r="T219" s="170">
        <f t="shared" si="144"/>
        <v>0</v>
      </c>
      <c r="U219" s="180">
        <f t="shared" si="137"/>
        <v>0</v>
      </c>
      <c r="V219" s="180">
        <f t="shared" si="138"/>
        <v>0</v>
      </c>
      <c r="W219" s="180">
        <f t="shared" si="145"/>
        <v>0</v>
      </c>
    </row>
    <row r="220" spans="2:23" x14ac:dyDescent="0.35">
      <c r="B220" s="164">
        <v>211160</v>
      </c>
      <c r="C220" s="100" t="s">
        <v>145</v>
      </c>
      <c r="D220" s="106" t="s">
        <v>175</v>
      </c>
      <c r="E220" s="208">
        <v>370000</v>
      </c>
      <c r="F220" s="208">
        <v>0</v>
      </c>
      <c r="G220" s="208">
        <v>370000</v>
      </c>
      <c r="H220" s="208">
        <v>0</v>
      </c>
      <c r="I220" s="208">
        <v>0</v>
      </c>
      <c r="J220" s="208">
        <v>341300.25</v>
      </c>
      <c r="K220" s="170">
        <f t="shared" si="140"/>
        <v>341300.25</v>
      </c>
      <c r="L220" s="170">
        <f t="shared" si="133"/>
        <v>0</v>
      </c>
      <c r="M220" s="170">
        <f t="shared" si="141"/>
        <v>0</v>
      </c>
      <c r="N220" s="208">
        <v>0</v>
      </c>
      <c r="O220" s="208">
        <v>0</v>
      </c>
      <c r="P220" s="208">
        <v>0</v>
      </c>
      <c r="Q220" s="208">
        <v>0</v>
      </c>
      <c r="R220" s="170">
        <f t="shared" si="142"/>
        <v>28699.75</v>
      </c>
      <c r="S220" s="170">
        <f t="shared" si="143"/>
        <v>28699.75</v>
      </c>
      <c r="T220" s="170">
        <f t="shared" si="144"/>
        <v>0</v>
      </c>
      <c r="U220" s="180">
        <f t="shared" si="137"/>
        <v>0</v>
      </c>
      <c r="V220" s="180">
        <f t="shared" si="138"/>
        <v>0</v>
      </c>
      <c r="W220" s="180">
        <f t="shared" si="145"/>
        <v>341300.25</v>
      </c>
    </row>
    <row r="221" spans="2:23" x14ac:dyDescent="0.35">
      <c r="B221" s="164">
        <v>211161</v>
      </c>
      <c r="C221" s="100" t="s">
        <v>145</v>
      </c>
      <c r="D221" s="106" t="s">
        <v>176</v>
      </c>
      <c r="E221" s="208">
        <v>47600</v>
      </c>
      <c r="F221" s="208">
        <v>0</v>
      </c>
      <c r="G221" s="208">
        <v>47600</v>
      </c>
      <c r="H221" s="208">
        <v>0</v>
      </c>
      <c r="I221" s="208">
        <v>0</v>
      </c>
      <c r="J221" s="208">
        <v>47600</v>
      </c>
      <c r="K221" s="170">
        <f t="shared" si="140"/>
        <v>47600</v>
      </c>
      <c r="L221" s="170">
        <f t="shared" si="133"/>
        <v>0</v>
      </c>
      <c r="M221" s="170">
        <f t="shared" si="141"/>
        <v>0</v>
      </c>
      <c r="N221" s="208">
        <v>0</v>
      </c>
      <c r="O221" s="208">
        <v>0</v>
      </c>
      <c r="P221" s="208">
        <v>0</v>
      </c>
      <c r="Q221" s="208">
        <v>0</v>
      </c>
      <c r="R221" s="170">
        <f t="shared" si="142"/>
        <v>0</v>
      </c>
      <c r="S221" s="170">
        <f t="shared" si="143"/>
        <v>0</v>
      </c>
      <c r="T221" s="170">
        <f t="shared" si="144"/>
        <v>0</v>
      </c>
      <c r="U221" s="180">
        <f t="shared" si="137"/>
        <v>0</v>
      </c>
      <c r="V221" s="180">
        <f t="shared" si="138"/>
        <v>0</v>
      </c>
      <c r="W221" s="180">
        <f t="shared" si="145"/>
        <v>47600</v>
      </c>
    </row>
    <row r="222" spans="2:23" x14ac:dyDescent="0.35">
      <c r="B222" s="164">
        <v>211162</v>
      </c>
      <c r="C222" s="100" t="s">
        <v>145</v>
      </c>
      <c r="D222" s="106" t="s">
        <v>177</v>
      </c>
      <c r="E222" s="208">
        <v>0</v>
      </c>
      <c r="F222" s="208">
        <v>0</v>
      </c>
      <c r="G222" s="208">
        <v>0</v>
      </c>
      <c r="H222" s="208">
        <v>0</v>
      </c>
      <c r="I222" s="208">
        <v>0</v>
      </c>
      <c r="J222" s="208">
        <v>0</v>
      </c>
      <c r="K222" s="170">
        <f t="shared" si="140"/>
        <v>0</v>
      </c>
      <c r="L222" s="170">
        <f t="shared" si="133"/>
        <v>0</v>
      </c>
      <c r="M222" s="170">
        <f t="shared" si="141"/>
        <v>0</v>
      </c>
      <c r="N222" s="208">
        <v>0</v>
      </c>
      <c r="O222" s="208">
        <v>0</v>
      </c>
      <c r="P222" s="208">
        <v>0</v>
      </c>
      <c r="Q222" s="208">
        <v>0</v>
      </c>
      <c r="R222" s="170">
        <f t="shared" si="142"/>
        <v>0</v>
      </c>
      <c r="S222" s="170">
        <f t="shared" si="143"/>
        <v>0</v>
      </c>
      <c r="T222" s="170">
        <f t="shared" si="144"/>
        <v>0</v>
      </c>
      <c r="U222" s="180">
        <f t="shared" si="137"/>
        <v>0</v>
      </c>
      <c r="V222" s="180">
        <f t="shared" si="138"/>
        <v>0</v>
      </c>
      <c r="W222" s="180">
        <f t="shared" si="145"/>
        <v>0</v>
      </c>
    </row>
    <row r="223" spans="2:23" x14ac:dyDescent="0.35">
      <c r="B223" s="164">
        <v>211163</v>
      </c>
      <c r="C223" s="100" t="s">
        <v>145</v>
      </c>
      <c r="D223" s="106" t="s">
        <v>178</v>
      </c>
      <c r="E223" s="208">
        <v>1274733.94</v>
      </c>
      <c r="F223" s="208">
        <v>0</v>
      </c>
      <c r="G223" s="208">
        <v>1274733.94</v>
      </c>
      <c r="H223" s="208">
        <v>0</v>
      </c>
      <c r="I223" s="208">
        <v>0</v>
      </c>
      <c r="J223" s="208">
        <v>1075970.3799999999</v>
      </c>
      <c r="K223" s="170">
        <f t="shared" si="140"/>
        <v>1075970.3799999999</v>
      </c>
      <c r="L223" s="170">
        <f t="shared" si="133"/>
        <v>0</v>
      </c>
      <c r="M223" s="170">
        <f t="shared" si="141"/>
        <v>0</v>
      </c>
      <c r="N223" s="208">
        <v>0</v>
      </c>
      <c r="O223" s="208">
        <v>0</v>
      </c>
      <c r="P223" s="208">
        <v>0</v>
      </c>
      <c r="Q223" s="208">
        <v>0</v>
      </c>
      <c r="R223" s="170">
        <f t="shared" si="142"/>
        <v>198763.56000000006</v>
      </c>
      <c r="S223" s="170">
        <f t="shared" si="143"/>
        <v>198763.56000000006</v>
      </c>
      <c r="T223" s="170">
        <f t="shared" si="144"/>
        <v>0</v>
      </c>
      <c r="U223" s="180">
        <f t="shared" si="137"/>
        <v>0</v>
      </c>
      <c r="V223" s="180">
        <f t="shared" si="138"/>
        <v>0</v>
      </c>
      <c r="W223" s="180">
        <f t="shared" si="145"/>
        <v>1075970.3799999999</v>
      </c>
    </row>
    <row r="224" spans="2:23" x14ac:dyDescent="0.35">
      <c r="B224" s="164">
        <v>211164</v>
      </c>
      <c r="C224" s="100" t="s">
        <v>145</v>
      </c>
      <c r="D224" s="106" t="s">
        <v>179</v>
      </c>
      <c r="E224" s="208">
        <v>0</v>
      </c>
      <c r="F224" s="208">
        <v>0</v>
      </c>
      <c r="G224" s="208">
        <v>0</v>
      </c>
      <c r="H224" s="208">
        <v>0</v>
      </c>
      <c r="I224" s="208">
        <v>0</v>
      </c>
      <c r="J224" s="208">
        <v>0</v>
      </c>
      <c r="K224" s="170">
        <f t="shared" si="140"/>
        <v>0</v>
      </c>
      <c r="L224" s="170">
        <f t="shared" si="133"/>
        <v>0</v>
      </c>
      <c r="M224" s="170">
        <f t="shared" si="141"/>
        <v>0</v>
      </c>
      <c r="N224" s="208">
        <v>0</v>
      </c>
      <c r="O224" s="208">
        <v>0</v>
      </c>
      <c r="P224" s="208">
        <v>0</v>
      </c>
      <c r="Q224" s="208">
        <v>0</v>
      </c>
      <c r="R224" s="170">
        <f t="shared" si="142"/>
        <v>0</v>
      </c>
      <c r="S224" s="170">
        <f t="shared" si="143"/>
        <v>0</v>
      </c>
      <c r="T224" s="170">
        <f t="shared" si="144"/>
        <v>0</v>
      </c>
      <c r="U224" s="180">
        <f t="shared" si="137"/>
        <v>0</v>
      </c>
      <c r="V224" s="180">
        <f t="shared" si="138"/>
        <v>0</v>
      </c>
      <c r="W224" s="180">
        <f t="shared" si="145"/>
        <v>0</v>
      </c>
    </row>
    <row r="225" spans="2:23" x14ac:dyDescent="0.35">
      <c r="B225" s="164">
        <v>211165</v>
      </c>
      <c r="C225" s="100" t="s">
        <v>145</v>
      </c>
      <c r="D225" s="106" t="s">
        <v>180</v>
      </c>
      <c r="E225" s="208">
        <v>801964.25999999978</v>
      </c>
      <c r="F225" s="208">
        <v>0</v>
      </c>
      <c r="G225" s="208">
        <v>801964</v>
      </c>
      <c r="H225" s="208">
        <v>0</v>
      </c>
      <c r="I225" s="208">
        <v>0</v>
      </c>
      <c r="J225" s="208">
        <v>801964.26</v>
      </c>
      <c r="K225" s="170">
        <f t="shared" si="140"/>
        <v>801964.26</v>
      </c>
      <c r="L225" s="170">
        <f t="shared" si="133"/>
        <v>0</v>
      </c>
      <c r="M225" s="170">
        <f t="shared" si="141"/>
        <v>0</v>
      </c>
      <c r="N225" s="208">
        <v>0</v>
      </c>
      <c r="O225" s="208">
        <v>0</v>
      </c>
      <c r="P225" s="208">
        <v>0</v>
      </c>
      <c r="Q225" s="208">
        <v>0</v>
      </c>
      <c r="R225" s="170">
        <f t="shared" si="142"/>
        <v>-0.26000000000931323</v>
      </c>
      <c r="S225" s="170">
        <f t="shared" si="143"/>
        <v>-0.26000000000931323</v>
      </c>
      <c r="T225" s="170">
        <f t="shared" si="144"/>
        <v>0</v>
      </c>
      <c r="U225" s="180">
        <f t="shared" si="137"/>
        <v>0</v>
      </c>
      <c r="V225" s="180">
        <f t="shared" si="138"/>
        <v>0</v>
      </c>
      <c r="W225" s="180">
        <f t="shared" si="145"/>
        <v>801964.26</v>
      </c>
    </row>
    <row r="226" spans="2:23" x14ac:dyDescent="0.35">
      <c r="B226" s="164">
        <v>211166</v>
      </c>
      <c r="C226" s="100" t="s">
        <v>145</v>
      </c>
      <c r="D226" s="106" t="s">
        <v>181</v>
      </c>
      <c r="E226" s="208">
        <v>0</v>
      </c>
      <c r="F226" s="208">
        <v>0</v>
      </c>
      <c r="G226" s="208">
        <v>0</v>
      </c>
      <c r="H226" s="208">
        <v>0</v>
      </c>
      <c r="I226" s="208">
        <v>0</v>
      </c>
      <c r="J226" s="208">
        <v>0</v>
      </c>
      <c r="K226" s="170">
        <f t="shared" si="140"/>
        <v>0</v>
      </c>
      <c r="L226" s="170">
        <f t="shared" si="133"/>
        <v>0</v>
      </c>
      <c r="M226" s="170">
        <f t="shared" si="141"/>
        <v>0</v>
      </c>
      <c r="N226" s="208">
        <v>0</v>
      </c>
      <c r="O226" s="208">
        <v>0</v>
      </c>
      <c r="P226" s="208">
        <v>0</v>
      </c>
      <c r="Q226" s="208">
        <v>0</v>
      </c>
      <c r="R226" s="170">
        <f t="shared" si="142"/>
        <v>0</v>
      </c>
      <c r="S226" s="170">
        <f t="shared" si="143"/>
        <v>0</v>
      </c>
      <c r="T226" s="170">
        <f t="shared" si="144"/>
        <v>0</v>
      </c>
      <c r="U226" s="180">
        <f t="shared" si="137"/>
        <v>0</v>
      </c>
      <c r="V226" s="180">
        <f t="shared" si="138"/>
        <v>0</v>
      </c>
      <c r="W226" s="180">
        <f t="shared" si="145"/>
        <v>0</v>
      </c>
    </row>
    <row r="227" spans="2:23" x14ac:dyDescent="0.35">
      <c r="B227" s="164">
        <v>211167</v>
      </c>
      <c r="C227" s="100" t="s">
        <v>145</v>
      </c>
      <c r="D227" s="106" t="s">
        <v>182</v>
      </c>
      <c r="E227" s="208">
        <v>0</v>
      </c>
      <c r="F227" s="208">
        <v>0</v>
      </c>
      <c r="G227" s="208">
        <v>0</v>
      </c>
      <c r="H227" s="208">
        <v>0</v>
      </c>
      <c r="I227" s="208">
        <v>0</v>
      </c>
      <c r="J227" s="208">
        <v>0</v>
      </c>
      <c r="K227" s="170">
        <f t="shared" si="140"/>
        <v>0</v>
      </c>
      <c r="L227" s="170">
        <f t="shared" si="133"/>
        <v>0</v>
      </c>
      <c r="M227" s="170">
        <f t="shared" si="141"/>
        <v>0</v>
      </c>
      <c r="N227" s="208">
        <v>0</v>
      </c>
      <c r="O227" s="208">
        <v>0</v>
      </c>
      <c r="P227" s="208">
        <v>0</v>
      </c>
      <c r="Q227" s="208">
        <v>0</v>
      </c>
      <c r="R227" s="170">
        <f t="shared" si="142"/>
        <v>0</v>
      </c>
      <c r="S227" s="170">
        <f t="shared" si="143"/>
        <v>0</v>
      </c>
      <c r="T227" s="170">
        <f t="shared" si="144"/>
        <v>0</v>
      </c>
      <c r="U227" s="180">
        <f t="shared" si="137"/>
        <v>0</v>
      </c>
      <c r="V227" s="180">
        <f t="shared" si="138"/>
        <v>0</v>
      </c>
      <c r="W227" s="180">
        <f t="shared" si="145"/>
        <v>0</v>
      </c>
    </row>
    <row r="228" spans="2:23" x14ac:dyDescent="0.35">
      <c r="B228" s="164">
        <v>211168</v>
      </c>
      <c r="C228" s="100" t="s">
        <v>145</v>
      </c>
      <c r="D228" s="106" t="s">
        <v>183</v>
      </c>
      <c r="E228" s="208">
        <v>1303.9400000000605</v>
      </c>
      <c r="F228" s="208">
        <v>0</v>
      </c>
      <c r="G228" s="208">
        <v>1303.9400000000605</v>
      </c>
      <c r="H228" s="208">
        <v>0</v>
      </c>
      <c r="I228" s="208">
        <v>0</v>
      </c>
      <c r="J228" s="208">
        <v>1303.94</v>
      </c>
      <c r="K228" s="170">
        <f t="shared" si="140"/>
        <v>1303.94</v>
      </c>
      <c r="L228" s="170">
        <f t="shared" si="133"/>
        <v>0</v>
      </c>
      <c r="M228" s="170">
        <f t="shared" si="141"/>
        <v>0</v>
      </c>
      <c r="N228" s="208">
        <v>0</v>
      </c>
      <c r="O228" s="208">
        <v>0</v>
      </c>
      <c r="P228" s="208">
        <v>0</v>
      </c>
      <c r="Q228" s="208">
        <v>0</v>
      </c>
      <c r="R228" s="170">
        <f t="shared" si="142"/>
        <v>6.0481397667899728E-11</v>
      </c>
      <c r="S228" s="170">
        <f t="shared" si="143"/>
        <v>6.0481397667899728E-11</v>
      </c>
      <c r="T228" s="170">
        <f t="shared" si="144"/>
        <v>0</v>
      </c>
      <c r="U228" s="180">
        <f t="shared" si="137"/>
        <v>0</v>
      </c>
      <c r="V228" s="180">
        <f t="shared" si="138"/>
        <v>0</v>
      </c>
      <c r="W228" s="180">
        <f t="shared" si="145"/>
        <v>1303.94</v>
      </c>
    </row>
    <row r="229" spans="2:23" x14ac:dyDescent="0.35">
      <c r="B229" s="164">
        <v>211169</v>
      </c>
      <c r="C229" s="100" t="s">
        <v>145</v>
      </c>
      <c r="D229" s="106" t="s">
        <v>237</v>
      </c>
      <c r="E229" s="208">
        <v>19103.590000000004</v>
      </c>
      <c r="F229" s="208">
        <v>0</v>
      </c>
      <c r="G229" s="208">
        <v>19103.590000000004</v>
      </c>
      <c r="H229" s="208">
        <v>0</v>
      </c>
      <c r="I229" s="208">
        <v>0</v>
      </c>
      <c r="J229" s="208">
        <v>-4232.25</v>
      </c>
      <c r="K229" s="170">
        <f t="shared" si="140"/>
        <v>-4232.25</v>
      </c>
      <c r="L229" s="170">
        <f t="shared" si="133"/>
        <v>0</v>
      </c>
      <c r="M229" s="170">
        <v>0</v>
      </c>
      <c r="N229" s="208">
        <v>0</v>
      </c>
      <c r="O229" s="208">
        <v>0</v>
      </c>
      <c r="P229" s="208">
        <v>0</v>
      </c>
      <c r="Q229" s="208">
        <v>0</v>
      </c>
      <c r="R229" s="170">
        <f t="shared" si="142"/>
        <v>23335.840000000004</v>
      </c>
      <c r="S229" s="170">
        <f t="shared" si="143"/>
        <v>23335.840000000004</v>
      </c>
      <c r="T229" s="170">
        <f t="shared" si="144"/>
        <v>0</v>
      </c>
      <c r="U229" s="180">
        <f t="shared" si="137"/>
        <v>0</v>
      </c>
      <c r="V229" s="180">
        <f t="shared" si="138"/>
        <v>0</v>
      </c>
      <c r="W229" s="180">
        <f t="shared" si="145"/>
        <v>-4232.25</v>
      </c>
    </row>
    <row r="230" spans="2:23" x14ac:dyDescent="0.35">
      <c r="B230" s="164">
        <v>211170</v>
      </c>
      <c r="C230" s="100" t="s">
        <v>145</v>
      </c>
      <c r="D230" s="106" t="s">
        <v>184</v>
      </c>
      <c r="E230" s="208">
        <v>740988.23</v>
      </c>
      <c r="F230" s="208">
        <v>0</v>
      </c>
      <c r="G230" s="208">
        <v>740988.23</v>
      </c>
      <c r="H230" s="208">
        <v>0</v>
      </c>
      <c r="I230" s="208">
        <v>0</v>
      </c>
      <c r="J230" s="208">
        <v>738648.59</v>
      </c>
      <c r="K230" s="170">
        <f t="shared" si="140"/>
        <v>738648.59</v>
      </c>
      <c r="L230" s="170">
        <f t="shared" si="133"/>
        <v>0</v>
      </c>
      <c r="M230" s="170">
        <f t="shared" si="141"/>
        <v>0</v>
      </c>
      <c r="N230" s="208">
        <v>0</v>
      </c>
      <c r="O230" s="208">
        <v>0</v>
      </c>
      <c r="P230" s="208">
        <v>0</v>
      </c>
      <c r="Q230" s="208">
        <v>0</v>
      </c>
      <c r="R230" s="170">
        <f t="shared" si="142"/>
        <v>2339.640000000014</v>
      </c>
      <c r="S230" s="170">
        <f t="shared" si="143"/>
        <v>2339.640000000014</v>
      </c>
      <c r="T230" s="170">
        <f t="shared" si="144"/>
        <v>0</v>
      </c>
      <c r="U230" s="180">
        <f t="shared" si="137"/>
        <v>0</v>
      </c>
      <c r="V230" s="180">
        <f t="shared" si="138"/>
        <v>0</v>
      </c>
      <c r="W230" s="180">
        <f t="shared" si="145"/>
        <v>738648.59</v>
      </c>
    </row>
    <row r="231" spans="2:23" x14ac:dyDescent="0.35">
      <c r="B231" s="164">
        <v>211171</v>
      </c>
      <c r="C231" s="100" t="s">
        <v>145</v>
      </c>
      <c r="D231" s="106" t="s">
        <v>185</v>
      </c>
      <c r="E231" s="208">
        <v>0</v>
      </c>
      <c r="F231" s="208">
        <v>0</v>
      </c>
      <c r="G231" s="208">
        <v>0</v>
      </c>
      <c r="H231" s="208">
        <v>0</v>
      </c>
      <c r="I231" s="208">
        <v>0</v>
      </c>
      <c r="J231" s="208">
        <v>0</v>
      </c>
      <c r="K231" s="170">
        <f t="shared" si="140"/>
        <v>0</v>
      </c>
      <c r="L231" s="170">
        <f t="shared" si="133"/>
        <v>0</v>
      </c>
      <c r="M231" s="170">
        <f t="shared" si="141"/>
        <v>0</v>
      </c>
      <c r="N231" s="208">
        <v>0</v>
      </c>
      <c r="O231" s="208">
        <v>0</v>
      </c>
      <c r="P231" s="208">
        <v>0</v>
      </c>
      <c r="Q231" s="208">
        <v>0</v>
      </c>
      <c r="R231" s="170">
        <f t="shared" si="142"/>
        <v>0</v>
      </c>
      <c r="S231" s="170">
        <f t="shared" si="143"/>
        <v>0</v>
      </c>
      <c r="T231" s="170">
        <f t="shared" si="144"/>
        <v>0</v>
      </c>
      <c r="U231" s="180">
        <f t="shared" si="137"/>
        <v>0</v>
      </c>
      <c r="V231" s="180">
        <f t="shared" si="138"/>
        <v>0</v>
      </c>
      <c r="W231" s="180">
        <f t="shared" si="145"/>
        <v>0</v>
      </c>
    </row>
    <row r="232" spans="2:23" x14ac:dyDescent="0.35">
      <c r="B232" s="164">
        <v>211172</v>
      </c>
      <c r="C232" s="100" t="s">
        <v>145</v>
      </c>
      <c r="D232" s="106" t="s">
        <v>186</v>
      </c>
      <c r="E232" s="208">
        <v>493928</v>
      </c>
      <c r="F232" s="208">
        <v>0</v>
      </c>
      <c r="G232" s="208">
        <v>493928</v>
      </c>
      <c r="H232" s="208">
        <v>0</v>
      </c>
      <c r="I232" s="208">
        <v>0</v>
      </c>
      <c r="J232" s="208">
        <v>0</v>
      </c>
      <c r="K232" s="170">
        <f t="shared" si="140"/>
        <v>0</v>
      </c>
      <c r="L232" s="170">
        <f t="shared" si="133"/>
        <v>0</v>
      </c>
      <c r="M232" s="170">
        <f t="shared" si="141"/>
        <v>0</v>
      </c>
      <c r="N232" s="208">
        <v>0</v>
      </c>
      <c r="O232" s="208">
        <v>0</v>
      </c>
      <c r="P232" s="208">
        <v>0</v>
      </c>
      <c r="Q232" s="208">
        <v>0</v>
      </c>
      <c r="R232" s="170">
        <f t="shared" si="142"/>
        <v>493928</v>
      </c>
      <c r="S232" s="170">
        <f t="shared" si="143"/>
        <v>493928</v>
      </c>
      <c r="T232" s="170">
        <f t="shared" si="144"/>
        <v>0</v>
      </c>
      <c r="U232" s="180">
        <f t="shared" si="137"/>
        <v>0</v>
      </c>
      <c r="V232" s="180">
        <f t="shared" si="138"/>
        <v>0</v>
      </c>
      <c r="W232" s="180">
        <f t="shared" si="145"/>
        <v>0</v>
      </c>
    </row>
    <row r="233" spans="2:23" x14ac:dyDescent="0.35">
      <c r="B233" s="164">
        <v>211173</v>
      </c>
      <c r="C233" s="100" t="s">
        <v>145</v>
      </c>
      <c r="D233" s="106" t="s">
        <v>187</v>
      </c>
      <c r="E233" s="208">
        <v>0</v>
      </c>
      <c r="F233" s="208">
        <v>0</v>
      </c>
      <c r="G233" s="208">
        <v>0</v>
      </c>
      <c r="H233" s="208">
        <v>0</v>
      </c>
      <c r="I233" s="208">
        <v>0</v>
      </c>
      <c r="J233" s="208">
        <v>0</v>
      </c>
      <c r="K233" s="170">
        <f t="shared" si="140"/>
        <v>0</v>
      </c>
      <c r="L233" s="170">
        <f t="shared" si="133"/>
        <v>0</v>
      </c>
      <c r="M233" s="170">
        <f t="shared" si="141"/>
        <v>0</v>
      </c>
      <c r="N233" s="208">
        <v>0</v>
      </c>
      <c r="O233" s="208">
        <v>0</v>
      </c>
      <c r="P233" s="208">
        <v>0</v>
      </c>
      <c r="Q233" s="208">
        <v>0</v>
      </c>
      <c r="R233" s="170">
        <f t="shared" si="142"/>
        <v>0</v>
      </c>
      <c r="S233" s="170">
        <f t="shared" si="143"/>
        <v>0</v>
      </c>
      <c r="T233" s="170">
        <f t="shared" si="144"/>
        <v>0</v>
      </c>
      <c r="U233" s="180">
        <f t="shared" si="137"/>
        <v>0</v>
      </c>
      <c r="V233" s="180">
        <f t="shared" si="138"/>
        <v>0</v>
      </c>
      <c r="W233" s="180">
        <f t="shared" si="145"/>
        <v>0</v>
      </c>
    </row>
    <row r="234" spans="2:23" x14ac:dyDescent="0.35">
      <c r="B234" s="164">
        <v>211174</v>
      </c>
      <c r="C234" s="100" t="s">
        <v>145</v>
      </c>
      <c r="D234" s="106" t="s">
        <v>188</v>
      </c>
      <c r="E234" s="208">
        <v>0</v>
      </c>
      <c r="F234" s="208">
        <v>0</v>
      </c>
      <c r="G234" s="208">
        <v>0</v>
      </c>
      <c r="H234" s="208">
        <v>0</v>
      </c>
      <c r="I234" s="208">
        <v>0</v>
      </c>
      <c r="J234" s="208">
        <v>0</v>
      </c>
      <c r="K234" s="170">
        <f t="shared" si="140"/>
        <v>0</v>
      </c>
      <c r="L234" s="170">
        <f t="shared" si="133"/>
        <v>0</v>
      </c>
      <c r="M234" s="170">
        <f t="shared" si="141"/>
        <v>0</v>
      </c>
      <c r="N234" s="208">
        <v>0</v>
      </c>
      <c r="O234" s="208">
        <v>0</v>
      </c>
      <c r="P234" s="208">
        <v>0</v>
      </c>
      <c r="Q234" s="208">
        <v>0</v>
      </c>
      <c r="R234" s="170">
        <f t="shared" si="142"/>
        <v>0</v>
      </c>
      <c r="S234" s="170">
        <f t="shared" si="143"/>
        <v>0</v>
      </c>
      <c r="T234" s="170">
        <f t="shared" si="144"/>
        <v>0</v>
      </c>
      <c r="U234" s="180">
        <f t="shared" si="137"/>
        <v>0</v>
      </c>
      <c r="V234" s="180">
        <f t="shared" si="138"/>
        <v>0</v>
      </c>
      <c r="W234" s="180">
        <f t="shared" si="145"/>
        <v>0</v>
      </c>
    </row>
    <row r="235" spans="2:23" x14ac:dyDescent="0.35">
      <c r="B235" s="164">
        <v>211175</v>
      </c>
      <c r="C235" s="100" t="s">
        <v>145</v>
      </c>
      <c r="D235" s="106" t="s">
        <v>189</v>
      </c>
      <c r="E235" s="208">
        <v>0</v>
      </c>
      <c r="F235" s="208">
        <v>0</v>
      </c>
      <c r="G235" s="208">
        <v>0</v>
      </c>
      <c r="H235" s="208">
        <v>0</v>
      </c>
      <c r="I235" s="208">
        <v>0</v>
      </c>
      <c r="J235" s="208">
        <v>0</v>
      </c>
      <c r="K235" s="170">
        <f t="shared" si="140"/>
        <v>0</v>
      </c>
      <c r="L235" s="170">
        <f t="shared" si="133"/>
        <v>0</v>
      </c>
      <c r="M235" s="170">
        <f t="shared" si="141"/>
        <v>0</v>
      </c>
      <c r="N235" s="208">
        <v>0</v>
      </c>
      <c r="O235" s="208">
        <v>0</v>
      </c>
      <c r="P235" s="208">
        <v>0</v>
      </c>
      <c r="Q235" s="208">
        <v>0</v>
      </c>
      <c r="R235" s="170">
        <f t="shared" si="142"/>
        <v>0</v>
      </c>
      <c r="S235" s="170">
        <f t="shared" si="143"/>
        <v>0</v>
      </c>
      <c r="T235" s="170">
        <f t="shared" si="144"/>
        <v>0</v>
      </c>
      <c r="U235" s="180">
        <f t="shared" si="137"/>
        <v>0</v>
      </c>
      <c r="V235" s="180">
        <f t="shared" si="138"/>
        <v>0</v>
      </c>
      <c r="W235" s="180">
        <f t="shared" si="145"/>
        <v>0</v>
      </c>
    </row>
    <row r="236" spans="2:23" x14ac:dyDescent="0.35">
      <c r="B236" s="164">
        <v>211176</v>
      </c>
      <c r="C236" s="100" t="s">
        <v>145</v>
      </c>
      <c r="D236" s="106" t="s">
        <v>243</v>
      </c>
      <c r="E236" s="208">
        <v>28488.6</v>
      </c>
      <c r="F236" s="208">
        <v>0</v>
      </c>
      <c r="G236" s="208">
        <v>28488.6</v>
      </c>
      <c r="H236" s="208">
        <v>0</v>
      </c>
      <c r="I236" s="208">
        <v>0</v>
      </c>
      <c r="J236" s="208">
        <v>28488.6</v>
      </c>
      <c r="K236" s="170">
        <f t="shared" si="140"/>
        <v>28488.6</v>
      </c>
      <c r="L236" s="170">
        <f t="shared" si="133"/>
        <v>0</v>
      </c>
      <c r="M236" s="170">
        <f t="shared" si="141"/>
        <v>0</v>
      </c>
      <c r="N236" s="208">
        <v>0</v>
      </c>
      <c r="O236" s="208">
        <v>0</v>
      </c>
      <c r="P236" s="208">
        <v>0</v>
      </c>
      <c r="Q236" s="208">
        <v>0</v>
      </c>
      <c r="R236" s="170">
        <f t="shared" si="142"/>
        <v>0</v>
      </c>
      <c r="S236" s="170">
        <f t="shared" si="143"/>
        <v>0</v>
      </c>
      <c r="T236" s="170">
        <f t="shared" si="144"/>
        <v>0</v>
      </c>
      <c r="U236" s="180">
        <f t="shared" si="137"/>
        <v>0</v>
      </c>
      <c r="V236" s="180">
        <f t="shared" si="138"/>
        <v>0</v>
      </c>
      <c r="W236" s="180">
        <f t="shared" si="145"/>
        <v>28488.6</v>
      </c>
    </row>
    <row r="237" spans="2:23" x14ac:dyDescent="0.35">
      <c r="B237" s="164">
        <v>211177</v>
      </c>
      <c r="C237" s="100" t="s">
        <v>145</v>
      </c>
      <c r="D237" s="106" t="s">
        <v>244</v>
      </c>
      <c r="E237" s="208">
        <v>0</v>
      </c>
      <c r="F237" s="208">
        <v>0</v>
      </c>
      <c r="G237" s="208">
        <v>0</v>
      </c>
      <c r="H237" s="208">
        <v>0</v>
      </c>
      <c r="I237" s="208">
        <v>0</v>
      </c>
      <c r="J237" s="208">
        <v>0</v>
      </c>
      <c r="K237" s="170">
        <f t="shared" si="140"/>
        <v>0</v>
      </c>
      <c r="L237" s="170">
        <f t="shared" si="133"/>
        <v>0</v>
      </c>
      <c r="M237" s="170">
        <f t="shared" si="141"/>
        <v>0</v>
      </c>
      <c r="N237" s="208">
        <v>0</v>
      </c>
      <c r="O237" s="208">
        <v>0</v>
      </c>
      <c r="P237" s="208">
        <v>0</v>
      </c>
      <c r="Q237" s="208">
        <v>0</v>
      </c>
      <c r="R237" s="170">
        <f t="shared" si="142"/>
        <v>0</v>
      </c>
      <c r="S237" s="170">
        <f t="shared" si="143"/>
        <v>0</v>
      </c>
      <c r="T237" s="170">
        <f t="shared" si="144"/>
        <v>0</v>
      </c>
      <c r="U237" s="180">
        <f t="shared" si="137"/>
        <v>0</v>
      </c>
      <c r="V237" s="180">
        <f t="shared" si="138"/>
        <v>0</v>
      </c>
      <c r="W237" s="180">
        <f t="shared" si="145"/>
        <v>0</v>
      </c>
    </row>
    <row r="238" spans="2:23" s="139" customFormat="1" x14ac:dyDescent="0.35">
      <c r="B238" s="164">
        <v>211178</v>
      </c>
      <c r="C238" s="100" t="s">
        <v>145</v>
      </c>
      <c r="D238" s="140" t="s">
        <v>245</v>
      </c>
      <c r="E238" s="208">
        <v>0</v>
      </c>
      <c r="F238" s="208">
        <v>0</v>
      </c>
      <c r="G238" s="208">
        <v>0</v>
      </c>
      <c r="H238" s="208">
        <v>0</v>
      </c>
      <c r="I238" s="208">
        <v>0</v>
      </c>
      <c r="J238" s="208">
        <v>0</v>
      </c>
      <c r="K238" s="170">
        <f t="shared" si="140"/>
        <v>0</v>
      </c>
      <c r="L238" s="170">
        <f t="shared" ref="L238:L248" si="146">IF(AND(H238&gt;0, J238&gt;0), MIN(H238, J238 - K238), 0)</f>
        <v>0</v>
      </c>
      <c r="M238" s="170">
        <f t="shared" ref="M238:M248" si="147">IF(J238&lt;0, J238, MAX(0, J238 - K238 - L238))</f>
        <v>0</v>
      </c>
      <c r="N238" s="208">
        <v>0</v>
      </c>
      <c r="O238" s="208">
        <v>0</v>
      </c>
      <c r="P238" s="208">
        <v>0</v>
      </c>
      <c r="Q238" s="208">
        <v>0</v>
      </c>
      <c r="R238" s="170">
        <f t="shared" si="142"/>
        <v>0</v>
      </c>
      <c r="S238" s="170">
        <f t="shared" si="143"/>
        <v>0</v>
      </c>
      <c r="T238" s="170">
        <f t="shared" si="144"/>
        <v>0</v>
      </c>
      <c r="U238" s="180">
        <f t="shared" ref="U238:U248" si="148">F238+I238-M238-Q238</f>
        <v>0</v>
      </c>
      <c r="V238" s="180">
        <f t="shared" ref="V238:V248" si="149">M238+Q238</f>
        <v>0</v>
      </c>
      <c r="W238" s="180">
        <f t="shared" ref="W238:W248" si="150">J238+N238</f>
        <v>0</v>
      </c>
    </row>
    <row r="239" spans="2:23" s="139" customFormat="1" x14ac:dyDescent="0.35">
      <c r="B239" s="164">
        <v>211179</v>
      </c>
      <c r="C239" s="142" t="s">
        <v>145</v>
      </c>
      <c r="D239" s="138" t="s">
        <v>367</v>
      </c>
      <c r="E239" s="208">
        <v>0</v>
      </c>
      <c r="F239" s="208">
        <v>0</v>
      </c>
      <c r="G239" s="208">
        <v>0</v>
      </c>
      <c r="H239" s="208">
        <v>0</v>
      </c>
      <c r="I239" s="208">
        <v>0</v>
      </c>
      <c r="J239" s="208">
        <v>0</v>
      </c>
      <c r="K239" s="170">
        <f t="shared" ref="K239:K248" si="151">J239</f>
        <v>0</v>
      </c>
      <c r="L239" s="170">
        <f t="shared" si="146"/>
        <v>0</v>
      </c>
      <c r="M239" s="170">
        <f t="shared" si="147"/>
        <v>0</v>
      </c>
      <c r="N239" s="208">
        <v>0</v>
      </c>
      <c r="O239" s="208">
        <v>0</v>
      </c>
      <c r="P239" s="208">
        <v>0</v>
      </c>
      <c r="Q239" s="208">
        <v>0</v>
      </c>
      <c r="R239" s="170">
        <f t="shared" ref="R239:R248" si="152">SUM(S239:U239)</f>
        <v>0</v>
      </c>
      <c r="S239" s="170">
        <f t="shared" ref="S239:S248" si="153">G239-K239-O239</f>
        <v>0</v>
      </c>
      <c r="T239" s="170">
        <f t="shared" ref="T239:T248" si="154">H239-L239-P239</f>
        <v>0</v>
      </c>
      <c r="U239" s="180">
        <f t="shared" si="148"/>
        <v>0</v>
      </c>
      <c r="V239" s="180">
        <f t="shared" si="149"/>
        <v>0</v>
      </c>
      <c r="W239" s="180">
        <f t="shared" si="150"/>
        <v>0</v>
      </c>
    </row>
    <row r="240" spans="2:23" s="139" customFormat="1" x14ac:dyDescent="0.35">
      <c r="B240" s="164">
        <v>211179</v>
      </c>
      <c r="C240" s="142" t="s">
        <v>145</v>
      </c>
      <c r="D240" s="138" t="s">
        <v>368</v>
      </c>
      <c r="E240" s="208">
        <v>0</v>
      </c>
      <c r="F240" s="208">
        <v>0</v>
      </c>
      <c r="G240" s="208">
        <v>0</v>
      </c>
      <c r="H240" s="208">
        <v>0</v>
      </c>
      <c r="I240" s="208">
        <v>0</v>
      </c>
      <c r="J240" s="208">
        <v>0</v>
      </c>
      <c r="K240" s="170">
        <f t="shared" si="151"/>
        <v>0</v>
      </c>
      <c r="L240" s="170">
        <f t="shared" si="146"/>
        <v>0</v>
      </c>
      <c r="M240" s="170">
        <f t="shared" si="147"/>
        <v>0</v>
      </c>
      <c r="N240" s="208">
        <v>0</v>
      </c>
      <c r="O240" s="208">
        <v>0</v>
      </c>
      <c r="P240" s="208">
        <v>0</v>
      </c>
      <c r="Q240" s="208">
        <v>0</v>
      </c>
      <c r="R240" s="170">
        <f t="shared" si="152"/>
        <v>0</v>
      </c>
      <c r="S240" s="170">
        <f t="shared" si="153"/>
        <v>0</v>
      </c>
      <c r="T240" s="170">
        <f t="shared" si="154"/>
        <v>0</v>
      </c>
      <c r="U240" s="180">
        <f t="shared" si="148"/>
        <v>0</v>
      </c>
      <c r="V240" s="180">
        <f t="shared" si="149"/>
        <v>0</v>
      </c>
      <c r="W240" s="180">
        <f t="shared" si="150"/>
        <v>0</v>
      </c>
    </row>
    <row r="241" spans="2:23" s="139" customFormat="1" x14ac:dyDescent="0.35">
      <c r="B241" s="164">
        <v>211180</v>
      </c>
      <c r="C241" s="142" t="s">
        <v>145</v>
      </c>
      <c r="D241" s="138" t="s">
        <v>352</v>
      </c>
      <c r="E241" s="208">
        <v>0</v>
      </c>
      <c r="F241" s="208">
        <v>0</v>
      </c>
      <c r="G241" s="208">
        <v>0</v>
      </c>
      <c r="H241" s="208">
        <v>0</v>
      </c>
      <c r="I241" s="208">
        <v>0</v>
      </c>
      <c r="J241" s="208">
        <v>0</v>
      </c>
      <c r="K241" s="170">
        <f t="shared" si="151"/>
        <v>0</v>
      </c>
      <c r="L241" s="170">
        <f t="shared" si="146"/>
        <v>0</v>
      </c>
      <c r="M241" s="170">
        <f t="shared" si="147"/>
        <v>0</v>
      </c>
      <c r="N241" s="208">
        <v>0</v>
      </c>
      <c r="O241" s="208">
        <v>0</v>
      </c>
      <c r="P241" s="208">
        <v>0</v>
      </c>
      <c r="Q241" s="208">
        <v>0</v>
      </c>
      <c r="R241" s="170">
        <f t="shared" si="152"/>
        <v>0</v>
      </c>
      <c r="S241" s="170">
        <f t="shared" si="153"/>
        <v>0</v>
      </c>
      <c r="T241" s="170">
        <f t="shared" si="154"/>
        <v>0</v>
      </c>
      <c r="U241" s="180">
        <f t="shared" si="148"/>
        <v>0</v>
      </c>
      <c r="V241" s="180">
        <f t="shared" si="149"/>
        <v>0</v>
      </c>
      <c r="W241" s="180">
        <f t="shared" si="150"/>
        <v>0</v>
      </c>
    </row>
    <row r="242" spans="2:23" s="139" customFormat="1" x14ac:dyDescent="0.35">
      <c r="B242" s="164">
        <v>211181</v>
      </c>
      <c r="C242" s="142" t="s">
        <v>145</v>
      </c>
      <c r="D242" s="138" t="s">
        <v>353</v>
      </c>
      <c r="E242" s="208">
        <v>1000</v>
      </c>
      <c r="F242" s="208">
        <v>0</v>
      </c>
      <c r="G242" s="208">
        <v>1000</v>
      </c>
      <c r="H242" s="208">
        <v>0</v>
      </c>
      <c r="I242" s="208">
        <v>0</v>
      </c>
      <c r="J242" s="208">
        <v>-3150.13</v>
      </c>
      <c r="K242" s="170">
        <f t="shared" si="151"/>
        <v>-3150.13</v>
      </c>
      <c r="L242" s="170">
        <f t="shared" si="146"/>
        <v>0</v>
      </c>
      <c r="M242" s="170">
        <v>0</v>
      </c>
      <c r="N242" s="208">
        <v>0</v>
      </c>
      <c r="O242" s="208">
        <v>0</v>
      </c>
      <c r="P242" s="208">
        <v>0</v>
      </c>
      <c r="Q242" s="208">
        <v>0</v>
      </c>
      <c r="R242" s="170">
        <f t="shared" si="152"/>
        <v>4150.13</v>
      </c>
      <c r="S242" s="170">
        <f t="shared" si="153"/>
        <v>4150.13</v>
      </c>
      <c r="T242" s="170">
        <f t="shared" si="154"/>
        <v>0</v>
      </c>
      <c r="U242" s="180">
        <f t="shared" si="148"/>
        <v>0</v>
      </c>
      <c r="V242" s="180">
        <f t="shared" si="149"/>
        <v>0</v>
      </c>
      <c r="W242" s="180">
        <f t="shared" si="150"/>
        <v>-3150.13</v>
      </c>
    </row>
    <row r="243" spans="2:23" s="139" customFormat="1" x14ac:dyDescent="0.35">
      <c r="B243" s="164">
        <v>211182</v>
      </c>
      <c r="C243" s="142" t="s">
        <v>145</v>
      </c>
      <c r="D243" s="138" t="s">
        <v>356</v>
      </c>
      <c r="E243" s="208">
        <v>997278.66</v>
      </c>
      <c r="F243" s="208">
        <v>0</v>
      </c>
      <c r="G243" s="208">
        <v>997278.66</v>
      </c>
      <c r="H243" s="208">
        <v>0</v>
      </c>
      <c r="I243" s="208">
        <v>0</v>
      </c>
      <c r="J243" s="208">
        <v>821918.07</v>
      </c>
      <c r="K243" s="170">
        <f t="shared" si="151"/>
        <v>821918.07</v>
      </c>
      <c r="L243" s="170">
        <f t="shared" si="146"/>
        <v>0</v>
      </c>
      <c r="M243" s="170">
        <f t="shared" si="147"/>
        <v>0</v>
      </c>
      <c r="N243" s="208">
        <v>0</v>
      </c>
      <c r="O243" s="208">
        <v>0</v>
      </c>
      <c r="P243" s="208">
        <v>0</v>
      </c>
      <c r="Q243" s="208">
        <v>0</v>
      </c>
      <c r="R243" s="170">
        <f t="shared" si="152"/>
        <v>175360.59000000008</v>
      </c>
      <c r="S243" s="170">
        <f t="shared" si="153"/>
        <v>175360.59000000008</v>
      </c>
      <c r="T243" s="170">
        <f t="shared" si="154"/>
        <v>0</v>
      </c>
      <c r="U243" s="180">
        <f t="shared" si="148"/>
        <v>0</v>
      </c>
      <c r="V243" s="180">
        <f t="shared" si="149"/>
        <v>0</v>
      </c>
      <c r="W243" s="180">
        <f t="shared" si="150"/>
        <v>821918.07</v>
      </c>
    </row>
    <row r="244" spans="2:23" s="139" customFormat="1" x14ac:dyDescent="0.35">
      <c r="B244" s="164">
        <v>211183</v>
      </c>
      <c r="C244" s="142" t="s">
        <v>145</v>
      </c>
      <c r="D244" s="138" t="s">
        <v>359</v>
      </c>
      <c r="E244" s="208">
        <v>250000</v>
      </c>
      <c r="F244" s="208">
        <v>0</v>
      </c>
      <c r="G244" s="208">
        <v>250000</v>
      </c>
      <c r="H244" s="208">
        <v>0</v>
      </c>
      <c r="I244" s="208">
        <v>0</v>
      </c>
      <c r="J244" s="208">
        <v>237803.17</v>
      </c>
      <c r="K244" s="170">
        <f t="shared" si="151"/>
        <v>237803.17</v>
      </c>
      <c r="L244" s="170">
        <f t="shared" si="146"/>
        <v>0</v>
      </c>
      <c r="M244" s="170">
        <f t="shared" si="147"/>
        <v>0</v>
      </c>
      <c r="N244" s="208">
        <v>0</v>
      </c>
      <c r="O244" s="208">
        <v>0</v>
      </c>
      <c r="P244" s="208">
        <v>0</v>
      </c>
      <c r="Q244" s="208">
        <v>0</v>
      </c>
      <c r="R244" s="170">
        <f t="shared" si="152"/>
        <v>12196.829999999987</v>
      </c>
      <c r="S244" s="170">
        <f t="shared" si="153"/>
        <v>12196.829999999987</v>
      </c>
      <c r="T244" s="170">
        <f t="shared" si="154"/>
        <v>0</v>
      </c>
      <c r="U244" s="180">
        <f t="shared" si="148"/>
        <v>0</v>
      </c>
      <c r="V244" s="180">
        <f t="shared" si="149"/>
        <v>0</v>
      </c>
      <c r="W244" s="180">
        <f t="shared" si="150"/>
        <v>237803.17</v>
      </c>
    </row>
    <row r="245" spans="2:23" s="139" customFormat="1" x14ac:dyDescent="0.35">
      <c r="B245" s="164">
        <v>211184</v>
      </c>
      <c r="C245" s="142" t="s">
        <v>145</v>
      </c>
      <c r="D245" s="138" t="s">
        <v>357</v>
      </c>
      <c r="E245" s="208">
        <v>185000</v>
      </c>
      <c r="F245" s="208">
        <v>0</v>
      </c>
      <c r="G245" s="208">
        <v>185000</v>
      </c>
      <c r="H245" s="208">
        <v>0</v>
      </c>
      <c r="I245" s="208">
        <v>0</v>
      </c>
      <c r="J245" s="208">
        <v>183674.23999999999</v>
      </c>
      <c r="K245" s="170">
        <f t="shared" si="151"/>
        <v>183674.23999999999</v>
      </c>
      <c r="L245" s="170">
        <f t="shared" si="146"/>
        <v>0</v>
      </c>
      <c r="M245" s="170">
        <f t="shared" si="147"/>
        <v>0</v>
      </c>
      <c r="N245" s="208">
        <v>0</v>
      </c>
      <c r="O245" s="208">
        <v>0</v>
      </c>
      <c r="P245" s="208">
        <v>0</v>
      </c>
      <c r="Q245" s="208">
        <v>0</v>
      </c>
      <c r="R245" s="170">
        <f t="shared" si="152"/>
        <v>1325.7600000000093</v>
      </c>
      <c r="S245" s="170">
        <f t="shared" si="153"/>
        <v>1325.7600000000093</v>
      </c>
      <c r="T245" s="170">
        <f t="shared" si="154"/>
        <v>0</v>
      </c>
      <c r="U245" s="180">
        <f t="shared" si="148"/>
        <v>0</v>
      </c>
      <c r="V245" s="180">
        <f t="shared" si="149"/>
        <v>0</v>
      </c>
      <c r="W245" s="180">
        <f t="shared" si="150"/>
        <v>183674.23999999999</v>
      </c>
    </row>
    <row r="246" spans="2:23" s="139" customFormat="1" x14ac:dyDescent="0.35">
      <c r="B246" s="164">
        <v>211185</v>
      </c>
      <c r="C246" s="142" t="s">
        <v>145</v>
      </c>
      <c r="D246" s="138" t="s">
        <v>355</v>
      </c>
      <c r="E246" s="208">
        <v>11218.75</v>
      </c>
      <c r="F246" s="208">
        <v>0</v>
      </c>
      <c r="G246" s="208">
        <v>11218.75</v>
      </c>
      <c r="H246" s="208">
        <v>0</v>
      </c>
      <c r="I246" s="208">
        <v>0</v>
      </c>
      <c r="J246" s="208">
        <v>0</v>
      </c>
      <c r="K246" s="170">
        <f t="shared" si="151"/>
        <v>0</v>
      </c>
      <c r="L246" s="170">
        <f t="shared" si="146"/>
        <v>0</v>
      </c>
      <c r="M246" s="170">
        <f t="shared" si="147"/>
        <v>0</v>
      </c>
      <c r="N246" s="208">
        <v>0</v>
      </c>
      <c r="O246" s="208">
        <v>0</v>
      </c>
      <c r="P246" s="208">
        <v>0</v>
      </c>
      <c r="Q246" s="208">
        <v>0</v>
      </c>
      <c r="R246" s="170">
        <f t="shared" si="152"/>
        <v>11218.75</v>
      </c>
      <c r="S246" s="170">
        <f t="shared" si="153"/>
        <v>11218.75</v>
      </c>
      <c r="T246" s="170">
        <f t="shared" si="154"/>
        <v>0</v>
      </c>
      <c r="U246" s="180">
        <f t="shared" si="148"/>
        <v>0</v>
      </c>
      <c r="V246" s="180">
        <f t="shared" si="149"/>
        <v>0</v>
      </c>
      <c r="W246" s="180">
        <f t="shared" si="150"/>
        <v>0</v>
      </c>
    </row>
    <row r="247" spans="2:23" s="139" customFormat="1" x14ac:dyDescent="0.35">
      <c r="B247" s="164">
        <v>211186</v>
      </c>
      <c r="C247" s="142" t="s">
        <v>145</v>
      </c>
      <c r="D247" s="138" t="s">
        <v>358</v>
      </c>
      <c r="E247" s="208">
        <v>589.25</v>
      </c>
      <c r="F247" s="208">
        <v>0</v>
      </c>
      <c r="G247" s="208">
        <v>589.25</v>
      </c>
      <c r="H247" s="208">
        <v>0</v>
      </c>
      <c r="I247" s="208">
        <v>0</v>
      </c>
      <c r="J247" s="208">
        <v>0</v>
      </c>
      <c r="K247" s="170">
        <f t="shared" si="151"/>
        <v>0</v>
      </c>
      <c r="L247" s="170">
        <f t="shared" si="146"/>
        <v>0</v>
      </c>
      <c r="M247" s="170">
        <f t="shared" si="147"/>
        <v>0</v>
      </c>
      <c r="N247" s="208">
        <v>0</v>
      </c>
      <c r="O247" s="208">
        <v>0</v>
      </c>
      <c r="P247" s="208">
        <v>0</v>
      </c>
      <c r="Q247" s="208">
        <v>0</v>
      </c>
      <c r="R247" s="170">
        <f t="shared" si="152"/>
        <v>589.25</v>
      </c>
      <c r="S247" s="170">
        <f t="shared" si="153"/>
        <v>589.25</v>
      </c>
      <c r="T247" s="170">
        <f t="shared" si="154"/>
        <v>0</v>
      </c>
      <c r="U247" s="180">
        <f t="shared" si="148"/>
        <v>0</v>
      </c>
      <c r="V247" s="180">
        <f t="shared" si="149"/>
        <v>0</v>
      </c>
      <c r="W247" s="180">
        <f t="shared" si="150"/>
        <v>0</v>
      </c>
    </row>
    <row r="248" spans="2:23" s="139" customFormat="1" x14ac:dyDescent="0.35">
      <c r="B248" s="164">
        <v>211187</v>
      </c>
      <c r="C248" s="142" t="s">
        <v>145</v>
      </c>
      <c r="D248" s="138" t="s">
        <v>354</v>
      </c>
      <c r="E248" s="208">
        <v>151235.26</v>
      </c>
      <c r="F248" s="208">
        <v>0</v>
      </c>
      <c r="G248" s="208">
        <v>151235.26</v>
      </c>
      <c r="H248" s="208">
        <v>0</v>
      </c>
      <c r="I248" s="208">
        <v>0</v>
      </c>
      <c r="J248" s="208">
        <v>145714.53</v>
      </c>
      <c r="K248" s="170">
        <f t="shared" si="151"/>
        <v>145714.53</v>
      </c>
      <c r="L248" s="170">
        <f t="shared" si="146"/>
        <v>0</v>
      </c>
      <c r="M248" s="170">
        <f t="shared" si="147"/>
        <v>0</v>
      </c>
      <c r="N248" s="208">
        <v>0</v>
      </c>
      <c r="O248" s="208">
        <v>0</v>
      </c>
      <c r="P248" s="208">
        <v>0</v>
      </c>
      <c r="Q248" s="208">
        <v>0</v>
      </c>
      <c r="R248" s="170">
        <f t="shared" si="152"/>
        <v>5520.7300000000105</v>
      </c>
      <c r="S248" s="170">
        <f t="shared" si="153"/>
        <v>5520.7300000000105</v>
      </c>
      <c r="T248" s="170">
        <f t="shared" si="154"/>
        <v>0</v>
      </c>
      <c r="U248" s="180">
        <f t="shared" si="148"/>
        <v>0</v>
      </c>
      <c r="V248" s="180">
        <f t="shared" si="149"/>
        <v>0</v>
      </c>
      <c r="W248" s="180">
        <f t="shared" si="150"/>
        <v>145714.53</v>
      </c>
    </row>
    <row r="249" spans="2:23" x14ac:dyDescent="0.35">
      <c r="B249" s="164"/>
      <c r="C249" s="142"/>
      <c r="D249" s="138"/>
      <c r="E249" s="171"/>
      <c r="F249" s="171"/>
      <c r="G249" s="171"/>
      <c r="H249" s="171"/>
      <c r="I249" s="171"/>
      <c r="J249" s="171"/>
      <c r="K249" s="174"/>
      <c r="L249" s="174"/>
      <c r="M249" s="174"/>
      <c r="N249" s="175"/>
      <c r="O249" s="175"/>
      <c r="P249" s="175"/>
      <c r="Q249" s="175"/>
      <c r="R249" s="175"/>
      <c r="S249" s="175"/>
      <c r="T249" s="175"/>
      <c r="U249" s="175"/>
      <c r="V249" s="175"/>
      <c r="W249" s="175"/>
    </row>
    <row r="250" spans="2:23" s="139" customFormat="1" x14ac:dyDescent="0.35">
      <c r="B250" s="161"/>
      <c r="C250" s="104"/>
      <c r="D250" s="101" t="s">
        <v>238</v>
      </c>
      <c r="E250" s="176">
        <f t="shared" ref="E250:Q250" si="155">SUM(E251:E255)</f>
        <v>31596248.73</v>
      </c>
      <c r="F250" s="176">
        <f t="shared" si="155"/>
        <v>28741706.440000001</v>
      </c>
      <c r="G250" s="176">
        <f t="shared" si="155"/>
        <v>0</v>
      </c>
      <c r="H250" s="176">
        <f t="shared" si="155"/>
        <v>2854542.2899999996</v>
      </c>
      <c r="I250" s="176">
        <f t="shared" si="155"/>
        <v>0</v>
      </c>
      <c r="J250" s="176">
        <f t="shared" si="155"/>
        <v>2555281.62</v>
      </c>
      <c r="K250" s="176">
        <f t="shared" si="155"/>
        <v>0</v>
      </c>
      <c r="L250" s="176">
        <f t="shared" si="155"/>
        <v>2462144.25</v>
      </c>
      <c r="M250" s="176">
        <f t="shared" si="155"/>
        <v>93137.37</v>
      </c>
      <c r="N250" s="176">
        <f t="shared" si="155"/>
        <v>28393269.09</v>
      </c>
      <c r="O250" s="176">
        <f t="shared" si="155"/>
        <v>0</v>
      </c>
      <c r="P250" s="176">
        <f t="shared" si="155"/>
        <v>392398.03999999957</v>
      </c>
      <c r="Q250" s="176">
        <f t="shared" si="155"/>
        <v>28000871.050000001</v>
      </c>
      <c r="R250" s="176">
        <f t="shared" ref="R250:W250" si="156">SUM(R251:R255)</f>
        <v>647698.01999999955</v>
      </c>
      <c r="S250" s="176">
        <f t="shared" si="156"/>
        <v>0</v>
      </c>
      <c r="T250" s="176">
        <f t="shared" si="156"/>
        <v>0</v>
      </c>
      <c r="U250" s="176">
        <f t="shared" si="156"/>
        <v>647698.01999999955</v>
      </c>
      <c r="V250" s="176">
        <f t="shared" si="156"/>
        <v>28094008.420000002</v>
      </c>
      <c r="W250" s="176">
        <f t="shared" si="156"/>
        <v>30948550.710000001</v>
      </c>
    </row>
    <row r="251" spans="2:23" x14ac:dyDescent="0.35">
      <c r="B251" s="158" t="s">
        <v>305</v>
      </c>
      <c r="C251" s="100" t="s">
        <v>36</v>
      </c>
      <c r="D251" s="138" t="s">
        <v>18</v>
      </c>
      <c r="E251" s="206">
        <v>566636.88</v>
      </c>
      <c r="F251" s="206">
        <v>447991.6</v>
      </c>
      <c r="G251" s="206">
        <v>0</v>
      </c>
      <c r="H251" s="206">
        <v>118645.28</v>
      </c>
      <c r="I251" s="206">
        <v>0</v>
      </c>
      <c r="J251" s="206">
        <v>211782.65</v>
      </c>
      <c r="K251" s="168">
        <f>IF(AND(G251&gt;0, J251&gt;0), MIN(J251, G251), 0)</f>
        <v>0</v>
      </c>
      <c r="L251" s="168">
        <f>IF(AND(H251&gt;0, J251&gt;0), MIN(H251, J251 - K251), 0)</f>
        <v>118645.28</v>
      </c>
      <c r="M251" s="168">
        <f>IF(J251&lt;0, J251, MAX(0, J251 - K251 - L251))</f>
        <v>93137.37</v>
      </c>
      <c r="N251" s="170">
        <v>71671</v>
      </c>
      <c r="O251" s="180">
        <f>IF(N251&gt;0, MIN(N251, MAX(0, G251 - K251)), 0)</f>
        <v>0</v>
      </c>
      <c r="P251" s="180">
        <f>IF((N251-O251)&gt;0, MIN((N251-O251), MAX(0, (H251-O251) - (L251-O251))), 0)</f>
        <v>0</v>
      </c>
      <c r="Q251" s="180">
        <f>N251-O251-P251</f>
        <v>71671</v>
      </c>
      <c r="R251" s="170">
        <f>SUM(S251:U251)</f>
        <v>283183.23</v>
      </c>
      <c r="S251" s="180">
        <f>G251-K251-O251</f>
        <v>0</v>
      </c>
      <c r="T251" s="180">
        <f>H251-L251-P251</f>
        <v>0</v>
      </c>
      <c r="U251" s="180">
        <f t="shared" ref="U251:U255" si="157">F251+I251-M251-Q251</f>
        <v>283183.23</v>
      </c>
      <c r="V251" s="180">
        <f>M251+Q251</f>
        <v>164808.37</v>
      </c>
      <c r="W251" s="180">
        <f>J251+N251</f>
        <v>283453.65000000002</v>
      </c>
    </row>
    <row r="252" spans="2:23" x14ac:dyDescent="0.35">
      <c r="B252" s="158" t="s">
        <v>321</v>
      </c>
      <c r="C252" s="100" t="s">
        <v>197</v>
      </c>
      <c r="D252" s="102" t="s">
        <v>143</v>
      </c>
      <c r="E252" s="208">
        <v>5664044.7599999998</v>
      </c>
      <c r="F252" s="208">
        <v>2928147.75</v>
      </c>
      <c r="G252" s="208">
        <v>0</v>
      </c>
      <c r="H252" s="208">
        <v>2735897.01</v>
      </c>
      <c r="I252" s="208">
        <v>0</v>
      </c>
      <c r="J252" s="208">
        <v>2343498.9700000002</v>
      </c>
      <c r="K252" s="170">
        <f>IF(AND(G252&gt;0, J252&gt;0), MIN(J252, G252), 0)</f>
        <v>0</v>
      </c>
      <c r="L252" s="170">
        <f t="shared" ref="L252" si="158">IF(AND(H252&gt;0, J252&gt;0), MIN(H252, J252 - K252), 0)</f>
        <v>2343498.9700000002</v>
      </c>
      <c r="M252" s="170">
        <f t="shared" ref="M252" si="159">IF(J252&lt;0, J252, MAX(0, J252 - K252 - L252))</f>
        <v>0</v>
      </c>
      <c r="N252" s="208">
        <v>2956031</v>
      </c>
      <c r="O252" s="170">
        <f t="shared" ref="O252:O255" si="160">IF(AND(N252&gt;0,(G252-K252)&gt;0),MIN(N252,G252-K252),G252-K252)</f>
        <v>0</v>
      </c>
      <c r="P252" s="170">
        <f t="shared" ref="P252:P255" si="161">IF((N252-O252)&gt;0, MIN((N252-O252), MAX(0, (H252-O252) - (L252-O252))), 0)</f>
        <v>392398.03999999957</v>
      </c>
      <c r="Q252" s="170">
        <f t="shared" ref="Q252:Q255" si="162">N252-O252-P252</f>
        <v>2563632.9600000004</v>
      </c>
      <c r="R252" s="170">
        <f t="shared" ref="R252:R255" si="163">SUM(S252:U252)</f>
        <v>364514.78999999957</v>
      </c>
      <c r="S252" s="170">
        <f>G252-K252-O252</f>
        <v>0</v>
      </c>
      <c r="T252" s="170">
        <f t="shared" ref="T252:T254" si="164">H252-L252-P252</f>
        <v>0</v>
      </c>
      <c r="U252" s="180">
        <f t="shared" si="157"/>
        <v>364514.78999999957</v>
      </c>
      <c r="V252" s="180">
        <f t="shared" ref="V252:V254" si="165">M252+Q252</f>
        <v>2563632.9600000004</v>
      </c>
      <c r="W252" s="180">
        <f>J252+N252</f>
        <v>5299529.9700000007</v>
      </c>
    </row>
    <row r="253" spans="2:23" s="144" customFormat="1" x14ac:dyDescent="0.35">
      <c r="B253" s="158" t="s">
        <v>322</v>
      </c>
      <c r="C253" s="100" t="s">
        <v>197</v>
      </c>
      <c r="D253" s="106" t="s">
        <v>340</v>
      </c>
      <c r="E253" s="208">
        <v>15000000</v>
      </c>
      <c r="F253" s="208">
        <v>15000000</v>
      </c>
      <c r="G253" s="208">
        <v>0</v>
      </c>
      <c r="H253" s="208">
        <v>0</v>
      </c>
      <c r="I253" s="208">
        <v>0</v>
      </c>
      <c r="J253" s="208">
        <v>0</v>
      </c>
      <c r="K253" s="170">
        <f>IF(AND(G253&gt;0, J253&gt;0), MIN(J253, G253), 0)</f>
        <v>0</v>
      </c>
      <c r="L253" s="170">
        <f t="shared" ref="L253:L255" si="166">IF(AND(H253&gt;0, J253&gt;0), MIN(H253, J253 - K253), 0)</f>
        <v>0</v>
      </c>
      <c r="M253" s="170">
        <f t="shared" ref="M253:M255" si="167">IF(J253&lt;0, J253, MAX(0, J253 - K253 - L253))</f>
        <v>0</v>
      </c>
      <c r="N253" s="170">
        <v>15000000</v>
      </c>
      <c r="O253" s="170">
        <f t="shared" si="160"/>
        <v>0</v>
      </c>
      <c r="P253" s="170">
        <f t="shared" si="161"/>
        <v>0</v>
      </c>
      <c r="Q253" s="170">
        <f t="shared" si="162"/>
        <v>15000000</v>
      </c>
      <c r="R253" s="170">
        <f t="shared" si="163"/>
        <v>0</v>
      </c>
      <c r="S253" s="170">
        <f>G253-K253-O253</f>
        <v>0</v>
      </c>
      <c r="T253" s="170">
        <f t="shared" si="164"/>
        <v>0</v>
      </c>
      <c r="U253" s="180">
        <f t="shared" si="157"/>
        <v>0</v>
      </c>
      <c r="V253" s="180">
        <f t="shared" si="165"/>
        <v>15000000</v>
      </c>
      <c r="W253" s="180">
        <f>J253+N253</f>
        <v>15000000</v>
      </c>
    </row>
    <row r="254" spans="2:23" x14ac:dyDescent="0.35">
      <c r="B254" s="158" t="s">
        <v>343</v>
      </c>
      <c r="C254" s="143" t="s">
        <v>197</v>
      </c>
      <c r="D254" s="106" t="s">
        <v>341</v>
      </c>
      <c r="E254" s="208">
        <v>10000000</v>
      </c>
      <c r="F254" s="208">
        <v>10000000</v>
      </c>
      <c r="G254" s="208">
        <v>0</v>
      </c>
      <c r="H254" s="208">
        <v>0</v>
      </c>
      <c r="I254" s="208">
        <v>0</v>
      </c>
      <c r="J254" s="208">
        <v>0</v>
      </c>
      <c r="K254" s="170">
        <f>IF(AND(G254&gt;0, J254&gt;0), MIN(J254, G254), 0)</f>
        <v>0</v>
      </c>
      <c r="L254" s="170">
        <f t="shared" si="166"/>
        <v>0</v>
      </c>
      <c r="M254" s="170">
        <f t="shared" si="167"/>
        <v>0</v>
      </c>
      <c r="N254" s="170">
        <v>10000000</v>
      </c>
      <c r="O254" s="170">
        <f t="shared" si="160"/>
        <v>0</v>
      </c>
      <c r="P254" s="170">
        <f t="shared" si="161"/>
        <v>0</v>
      </c>
      <c r="Q254" s="170">
        <f t="shared" si="162"/>
        <v>10000000</v>
      </c>
      <c r="R254" s="170">
        <f t="shared" si="163"/>
        <v>0</v>
      </c>
      <c r="S254" s="170">
        <f>G254-K254-O254</f>
        <v>0</v>
      </c>
      <c r="T254" s="170">
        <f t="shared" si="164"/>
        <v>0</v>
      </c>
      <c r="U254" s="180">
        <f t="shared" si="157"/>
        <v>0</v>
      </c>
      <c r="V254" s="180">
        <f t="shared" si="165"/>
        <v>10000000</v>
      </c>
      <c r="W254" s="180">
        <f>J254+N254</f>
        <v>10000000</v>
      </c>
    </row>
    <row r="255" spans="2:23" x14ac:dyDescent="0.35">
      <c r="B255" s="158" t="s">
        <v>404</v>
      </c>
      <c r="C255" s="142" t="s">
        <v>197</v>
      </c>
      <c r="D255" s="106" t="s">
        <v>405</v>
      </c>
      <c r="E255" s="208">
        <v>365567.08999999997</v>
      </c>
      <c r="F255" s="208">
        <v>365567.08999999997</v>
      </c>
      <c r="G255" s="208">
        <v>0</v>
      </c>
      <c r="H255" s="208">
        <v>0</v>
      </c>
      <c r="I255" s="208">
        <v>0</v>
      </c>
      <c r="J255" s="208">
        <v>0</v>
      </c>
      <c r="K255" s="170">
        <f>IF(AND(G255&gt;0, J255&gt;0), MIN(J255, G255), 0)</f>
        <v>0</v>
      </c>
      <c r="L255" s="170">
        <f t="shared" si="166"/>
        <v>0</v>
      </c>
      <c r="M255" s="170">
        <f t="shared" si="167"/>
        <v>0</v>
      </c>
      <c r="N255" s="170">
        <v>365567.09</v>
      </c>
      <c r="O255" s="170">
        <f t="shared" si="160"/>
        <v>0</v>
      </c>
      <c r="P255" s="170">
        <f t="shared" si="161"/>
        <v>0</v>
      </c>
      <c r="Q255" s="170">
        <f t="shared" si="162"/>
        <v>365567.09</v>
      </c>
      <c r="R255" s="170">
        <f t="shared" si="163"/>
        <v>0</v>
      </c>
      <c r="S255" s="170">
        <f>G255-K255-O255</f>
        <v>0</v>
      </c>
      <c r="T255" s="170">
        <f t="shared" ref="T255" si="168">H255-L255-P255</f>
        <v>0</v>
      </c>
      <c r="U255" s="180">
        <f t="shared" si="157"/>
        <v>0</v>
      </c>
      <c r="V255" s="180">
        <f t="shared" ref="V255" si="169">M255+Q255</f>
        <v>365567.09</v>
      </c>
      <c r="W255" s="180">
        <f>J255+N255</f>
        <v>365567.09</v>
      </c>
    </row>
    <row r="256" spans="2:23" x14ac:dyDescent="0.35">
      <c r="C256" s="86"/>
      <c r="D256" s="138"/>
      <c r="E256" s="171"/>
      <c r="F256" s="171"/>
      <c r="G256" s="171"/>
      <c r="H256" s="171"/>
      <c r="I256" s="171"/>
      <c r="J256" s="171"/>
      <c r="K256" s="174"/>
      <c r="L256" s="174"/>
      <c r="M256" s="174"/>
      <c r="N256" s="175"/>
      <c r="O256" s="175"/>
      <c r="P256" s="175"/>
      <c r="Q256" s="175"/>
      <c r="R256" s="175"/>
      <c r="S256" s="175"/>
      <c r="T256" s="175"/>
      <c r="U256" s="175"/>
      <c r="V256" s="175"/>
      <c r="W256" s="175"/>
    </row>
    <row r="257" spans="2:27" s="139" customFormat="1" x14ac:dyDescent="0.35">
      <c r="B257" s="161"/>
      <c r="C257" s="104"/>
      <c r="D257" s="101" t="s">
        <v>113</v>
      </c>
      <c r="E257" s="176">
        <f t="shared" ref="E257" si="170">SUM(E258:E261)</f>
        <v>12127121.807500003</v>
      </c>
      <c r="F257" s="176">
        <f t="shared" ref="F257" si="171">SUM(F258:F261)</f>
        <v>372446.21749999997</v>
      </c>
      <c r="G257" s="176">
        <f t="shared" ref="G257" si="172">SUM(G258:G261)</f>
        <v>0</v>
      </c>
      <c r="H257" s="176">
        <f t="shared" ref="H257" si="173">SUM(H258:H261)</f>
        <v>11754675.590000002</v>
      </c>
      <c r="I257" s="176">
        <f t="shared" ref="I257" si="174">SUM(I258:I261)</f>
        <v>32854809.639999997</v>
      </c>
      <c r="J257" s="176">
        <f t="shared" ref="J257" si="175">SUM(J258:J261)</f>
        <v>7443595.0499999998</v>
      </c>
      <c r="K257" s="176">
        <f t="shared" ref="K257" si="176">SUM(K258:K261)</f>
        <v>0</v>
      </c>
      <c r="L257" s="176">
        <f t="shared" ref="L257" si="177">SUM(L258:L261)</f>
        <v>7107399.75</v>
      </c>
      <c r="M257" s="176">
        <f t="shared" ref="M257" si="178">SUM(M258:M261)</f>
        <v>336195.3</v>
      </c>
      <c r="N257" s="176">
        <f t="shared" ref="N257" si="179">SUM(N258:N261)</f>
        <v>37538336.400000021</v>
      </c>
      <c r="O257" s="176">
        <f t="shared" ref="O257" si="180">SUM(O258:O261)</f>
        <v>0</v>
      </c>
      <c r="P257" s="176">
        <f t="shared" ref="P257" si="181">SUM(P258:P261)</f>
        <v>4647275.8400000008</v>
      </c>
      <c r="Q257" s="176">
        <f t="shared" ref="Q257" si="182">SUM(Q258:Q261)</f>
        <v>32891060.560000021</v>
      </c>
      <c r="R257" s="176">
        <f t="shared" ref="R257" si="183">SUM(R258:R261)</f>
        <v>-2.5000000168802217E-3</v>
      </c>
      <c r="S257" s="176">
        <f t="shared" ref="S257" si="184">SUM(S258:S261)</f>
        <v>0</v>
      </c>
      <c r="T257" s="176">
        <f t="shared" ref="T257" si="185">SUM(T258:T261)</f>
        <v>0</v>
      </c>
      <c r="U257" s="176">
        <f t="shared" ref="U257" si="186">SUM(U258:U261)</f>
        <v>-2.5000000168802217E-3</v>
      </c>
      <c r="V257" s="176">
        <f t="shared" ref="V257" si="187">SUM(V258:V261)</f>
        <v>33227255.860000018</v>
      </c>
      <c r="W257" s="176">
        <f t="shared" ref="W257" si="188">SUM(W258:W261)</f>
        <v>44981931.450000018</v>
      </c>
      <c r="Y257" s="234"/>
      <c r="Z257" s="234"/>
      <c r="AA257" s="234"/>
    </row>
    <row r="258" spans="2:27" s="136" customFormat="1" x14ac:dyDescent="0.35">
      <c r="B258" s="164">
        <v>100501</v>
      </c>
      <c r="C258" s="135" t="s">
        <v>239</v>
      </c>
      <c r="D258" s="137" t="s">
        <v>241</v>
      </c>
      <c r="E258" s="208">
        <v>358234.21749999997</v>
      </c>
      <c r="F258" s="208">
        <v>358234.21749999997</v>
      </c>
      <c r="G258" s="208">
        <v>0</v>
      </c>
      <c r="H258" s="208">
        <v>0</v>
      </c>
      <c r="I258" s="208">
        <v>0</v>
      </c>
      <c r="J258" s="208">
        <v>336195.3</v>
      </c>
      <c r="K258" s="170">
        <f>IF(AND(G258&gt;0, J258&gt;0), MIN(J258, G258), 0)</f>
        <v>0</v>
      </c>
      <c r="L258" s="170">
        <f t="shared" ref="L258:L261" si="189">IF(AND(H258&gt;0, J258&gt;0), MIN(H258, J258 - K258), 0)</f>
        <v>0</v>
      </c>
      <c r="M258" s="170">
        <f t="shared" ref="M258:M261" si="190">IF(J258&lt;0, J258, MAX(0, J258 - K258 - L258))</f>
        <v>336195.3</v>
      </c>
      <c r="N258" s="170">
        <v>22038.92</v>
      </c>
      <c r="O258" s="170">
        <f t="shared" ref="O258:O261" si="191">IF(AND(N258&gt;0,(G258-K258)&gt;0),MIN(N258,G258-K258),G258-K258)</f>
        <v>0</v>
      </c>
      <c r="P258" s="170">
        <f t="shared" ref="P258:P261" si="192">IF((N258-O258)&gt;0, MIN((N258-O258), MAX(0, (H258-O258) - (L258-O258))), 0)</f>
        <v>0</v>
      </c>
      <c r="Q258" s="170">
        <f t="shared" ref="Q258:Q261" si="193">N258-O258-P258</f>
        <v>22038.92</v>
      </c>
      <c r="R258" s="170">
        <f t="shared" ref="R258:R261" si="194">SUM(S258:U258)</f>
        <v>-2.5000000168802217E-3</v>
      </c>
      <c r="S258" s="180">
        <f>G258-K258-O258</f>
        <v>0</v>
      </c>
      <c r="T258" s="180">
        <f t="shared" ref="T258:T261" si="195">H258-L258-P258</f>
        <v>0</v>
      </c>
      <c r="U258" s="180">
        <f t="shared" ref="U258:U261" si="196">F258+I258-M258-Q258</f>
        <v>-2.5000000168802217E-3</v>
      </c>
      <c r="V258" s="180">
        <f t="shared" ref="V258:V261" si="197">M258+Q258</f>
        <v>358234.22</v>
      </c>
      <c r="W258" s="180">
        <f>J258+N258</f>
        <v>358234.22</v>
      </c>
      <c r="Y258" s="230"/>
      <c r="Z258" s="230"/>
      <c r="AA258" s="234"/>
    </row>
    <row r="259" spans="2:27" x14ac:dyDescent="0.35">
      <c r="B259" s="164">
        <v>100512</v>
      </c>
      <c r="C259" s="135" t="s">
        <v>239</v>
      </c>
      <c r="D259" s="134" t="s">
        <v>240</v>
      </c>
      <c r="E259" s="208">
        <v>1040381.7470588242</v>
      </c>
      <c r="F259" s="208">
        <v>0</v>
      </c>
      <c r="G259" s="208">
        <v>0</v>
      </c>
      <c r="H259" s="208">
        <v>1040381.7470588242</v>
      </c>
      <c r="I259" s="208">
        <v>0</v>
      </c>
      <c r="J259" s="208">
        <v>977664.13</v>
      </c>
      <c r="K259" s="170">
        <f>IF(AND(G259&gt;0, J259&gt;0), MIN(J259, G259), 0)</f>
        <v>0</v>
      </c>
      <c r="L259" s="170">
        <f t="shared" si="189"/>
        <v>977664.13</v>
      </c>
      <c r="M259" s="170">
        <f t="shared" si="190"/>
        <v>0</v>
      </c>
      <c r="N259" s="170">
        <v>62717.617058824166</v>
      </c>
      <c r="O259" s="170">
        <f t="shared" si="191"/>
        <v>0</v>
      </c>
      <c r="P259" s="170">
        <f t="shared" si="192"/>
        <v>62717.617058824166</v>
      </c>
      <c r="Q259" s="170">
        <f t="shared" si="193"/>
        <v>0</v>
      </c>
      <c r="R259" s="170">
        <f t="shared" si="194"/>
        <v>0</v>
      </c>
      <c r="S259" s="180">
        <f>G259-K259-O259</f>
        <v>0</v>
      </c>
      <c r="T259" s="180">
        <f t="shared" si="195"/>
        <v>0</v>
      </c>
      <c r="U259" s="180">
        <f t="shared" si="196"/>
        <v>0</v>
      </c>
      <c r="V259" s="180">
        <f t="shared" si="197"/>
        <v>0</v>
      </c>
      <c r="W259" s="180">
        <f>J259+N259</f>
        <v>1040381.7470588242</v>
      </c>
      <c r="Y259" s="175"/>
      <c r="Z259" s="175"/>
      <c r="AA259" s="234"/>
    </row>
    <row r="260" spans="2:27" x14ac:dyDescent="0.35">
      <c r="B260" s="164">
        <v>100511</v>
      </c>
      <c r="C260" s="100" t="s">
        <v>138</v>
      </c>
      <c r="D260" s="102" t="s">
        <v>137</v>
      </c>
      <c r="E260" s="208">
        <v>10709911.132941177</v>
      </c>
      <c r="F260" s="208">
        <v>0</v>
      </c>
      <c r="G260" s="208">
        <v>0</v>
      </c>
      <c r="H260" s="208">
        <v>10709911.132941177</v>
      </c>
      <c r="I260" s="169">
        <f>M9</f>
        <v>32854809.639999997</v>
      </c>
      <c r="J260" s="208">
        <v>6126534.7999999998</v>
      </c>
      <c r="K260" s="170">
        <f>IF(AND(G260&gt;0, J260&gt;0), MIN(J260, G260), 0)</f>
        <v>0</v>
      </c>
      <c r="L260" s="170">
        <f t="shared" si="189"/>
        <v>6126534.7999999998</v>
      </c>
      <c r="M260" s="170">
        <f t="shared" si="190"/>
        <v>0</v>
      </c>
      <c r="N260" s="170">
        <f>32181180.6829412+5257005.29</f>
        <v>37438185.972941197</v>
      </c>
      <c r="O260" s="170">
        <f t="shared" si="191"/>
        <v>0</v>
      </c>
      <c r="P260" s="170">
        <f t="shared" si="192"/>
        <v>4583376.3329411773</v>
      </c>
      <c r="Q260" s="170">
        <f t="shared" si="193"/>
        <v>32854809.640000019</v>
      </c>
      <c r="R260" s="170">
        <v>0</v>
      </c>
      <c r="S260" s="180">
        <f>G260-K260-O260</f>
        <v>0</v>
      </c>
      <c r="T260" s="180">
        <v>0</v>
      </c>
      <c r="U260" s="180">
        <f t="shared" si="196"/>
        <v>0</v>
      </c>
      <c r="V260" s="180">
        <f t="shared" si="197"/>
        <v>32854809.640000019</v>
      </c>
      <c r="W260" s="180">
        <f>J260+N260</f>
        <v>43564720.772941194</v>
      </c>
      <c r="Y260" s="175"/>
      <c r="Z260" s="175"/>
      <c r="AA260" s="234"/>
    </row>
    <row r="261" spans="2:27" x14ac:dyDescent="0.35">
      <c r="B261" s="164">
        <v>100508</v>
      </c>
      <c r="C261" s="100" t="s">
        <v>45</v>
      </c>
      <c r="D261" s="102" t="s">
        <v>67</v>
      </c>
      <c r="E261" s="208">
        <v>18594.71</v>
      </c>
      <c r="F261" s="208">
        <v>14212</v>
      </c>
      <c r="G261" s="208">
        <v>0</v>
      </c>
      <c r="H261" s="208">
        <v>4382.71</v>
      </c>
      <c r="I261" s="208">
        <v>0</v>
      </c>
      <c r="J261" s="208">
        <v>3200.82</v>
      </c>
      <c r="K261" s="170">
        <f>IF(AND(G261&gt;0, J261&gt;0), MIN(J261, G261), 0)</f>
        <v>0</v>
      </c>
      <c r="L261" s="170">
        <f t="shared" si="189"/>
        <v>3200.82</v>
      </c>
      <c r="M261" s="170">
        <f t="shared" si="190"/>
        <v>0</v>
      </c>
      <c r="N261" s="170">
        <v>15393.89</v>
      </c>
      <c r="O261" s="170">
        <f t="shared" si="191"/>
        <v>0</v>
      </c>
      <c r="P261" s="170">
        <f t="shared" si="192"/>
        <v>1181.8899999999999</v>
      </c>
      <c r="Q261" s="170">
        <f t="shared" si="193"/>
        <v>14212</v>
      </c>
      <c r="R261" s="170">
        <f t="shared" si="194"/>
        <v>0</v>
      </c>
      <c r="S261" s="180">
        <f>G261-K261-O261</f>
        <v>0</v>
      </c>
      <c r="T261" s="180">
        <f t="shared" si="195"/>
        <v>0</v>
      </c>
      <c r="U261" s="180">
        <f t="shared" si="196"/>
        <v>0</v>
      </c>
      <c r="V261" s="180">
        <f t="shared" si="197"/>
        <v>14212</v>
      </c>
      <c r="W261" s="180">
        <f>J261+N261</f>
        <v>18594.71</v>
      </c>
      <c r="Y261" s="175"/>
    </row>
    <row r="262" spans="2:27" x14ac:dyDescent="0.35">
      <c r="C262" s="86"/>
      <c r="D262" s="138"/>
      <c r="E262" s="171"/>
      <c r="F262" s="171"/>
      <c r="G262" s="171"/>
      <c r="H262" s="171"/>
      <c r="I262" s="171"/>
      <c r="J262" s="171"/>
      <c r="K262" s="174"/>
      <c r="L262" s="174"/>
      <c r="M262" s="174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Y262" s="175"/>
      <c r="Z262" s="175"/>
      <c r="AA262" s="175"/>
    </row>
    <row r="263" spans="2:27" s="139" customFormat="1" x14ac:dyDescent="0.35">
      <c r="B263" s="161"/>
      <c r="C263" s="104"/>
      <c r="D263" s="101" t="s">
        <v>11</v>
      </c>
      <c r="E263" s="176">
        <f t="shared" ref="E263:W263" si="198">E28+E37+E46+E53+E66+E86+E104+E250+E257</f>
        <v>305802426.72650003</v>
      </c>
      <c r="F263" s="176">
        <f t="shared" si="198"/>
        <v>190305149.93822527</v>
      </c>
      <c r="G263" s="176">
        <f t="shared" si="198"/>
        <v>23067739.859999999</v>
      </c>
      <c r="H263" s="176">
        <f t="shared" si="198"/>
        <v>92429537.399999991</v>
      </c>
      <c r="I263" s="176">
        <f t="shared" si="198"/>
        <v>32854809.639999997</v>
      </c>
      <c r="J263" s="176">
        <f t="shared" si="198"/>
        <v>167164851.77000001</v>
      </c>
      <c r="K263" s="176">
        <f t="shared" si="198"/>
        <v>14590117.82</v>
      </c>
      <c r="L263" s="176">
        <f t="shared" si="198"/>
        <v>61806967.435000002</v>
      </c>
      <c r="M263" s="176">
        <f t="shared" si="198"/>
        <v>90767766.515000001</v>
      </c>
      <c r="N263" s="176">
        <f t="shared" si="198"/>
        <v>164241334.7914027</v>
      </c>
      <c r="O263" s="176">
        <f t="shared" si="198"/>
        <v>8011860.3900000006</v>
      </c>
      <c r="P263" s="176">
        <f t="shared" si="198"/>
        <v>30229511.559999999</v>
      </c>
      <c r="Q263" s="176">
        <f t="shared" si="198"/>
        <v>125999962.84140268</v>
      </c>
      <c r="R263" s="176">
        <f t="shared" si="198"/>
        <v>7251050.2768226173</v>
      </c>
      <c r="S263" s="176">
        <f t="shared" si="198"/>
        <v>465761.64999999967</v>
      </c>
      <c r="T263" s="176">
        <f t="shared" si="198"/>
        <v>393058.40500000014</v>
      </c>
      <c r="U263" s="176">
        <f t="shared" si="198"/>
        <v>6392230.2218226148</v>
      </c>
      <c r="V263" s="176">
        <f t="shared" si="198"/>
        <v>216767729.3564027</v>
      </c>
      <c r="W263" s="176">
        <f t="shared" si="198"/>
        <v>331406186.56140268</v>
      </c>
    </row>
    <row r="264" spans="2:27" x14ac:dyDescent="0.35">
      <c r="C264" s="83"/>
      <c r="D264" s="76"/>
      <c r="E264" s="192"/>
      <c r="F264" s="76"/>
      <c r="G264" s="76"/>
      <c r="H264" s="192"/>
      <c r="I264" s="76"/>
      <c r="J264" s="76"/>
      <c r="K264" s="85"/>
      <c r="L264" s="85"/>
      <c r="M264" s="85"/>
      <c r="N264" s="175"/>
      <c r="O264" s="175"/>
      <c r="S264" s="175"/>
      <c r="T264" s="175"/>
      <c r="U264" s="175"/>
    </row>
    <row r="265" spans="2:27" x14ac:dyDescent="0.35">
      <c r="C265" s="91"/>
      <c r="D265" s="109" t="s">
        <v>16</v>
      </c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Y265" s="175"/>
    </row>
    <row r="266" spans="2:27" x14ac:dyDescent="0.35">
      <c r="C266" s="92"/>
      <c r="D266" s="111" t="s">
        <v>12</v>
      </c>
      <c r="E266" s="107">
        <f t="shared" ref="E266:W266" si="199">E23</f>
        <v>305802426.95115</v>
      </c>
      <c r="F266" s="107">
        <f t="shared" si="199"/>
        <v>190305149.44215003</v>
      </c>
      <c r="G266" s="107">
        <f t="shared" si="199"/>
        <v>22697847.001000002</v>
      </c>
      <c r="H266" s="107">
        <f t="shared" si="199"/>
        <v>92799430.509000003</v>
      </c>
      <c r="I266" s="107">
        <f t="shared" si="199"/>
        <v>32854809.639999997</v>
      </c>
      <c r="J266" s="107">
        <f t="shared" si="199"/>
        <v>339286346.60099995</v>
      </c>
      <c r="K266" s="107">
        <f t="shared" si="199"/>
        <v>22697847.001000002</v>
      </c>
      <c r="L266" s="107">
        <f t="shared" si="199"/>
        <v>92799430.509000003</v>
      </c>
      <c r="M266" s="107">
        <f t="shared" si="199"/>
        <v>223789069.09100002</v>
      </c>
      <c r="N266" s="107">
        <f t="shared" si="199"/>
        <v>378733.75</v>
      </c>
      <c r="O266" s="107">
        <f t="shared" si="199"/>
        <v>0</v>
      </c>
      <c r="P266" s="107">
        <f t="shared" si="199"/>
        <v>0</v>
      </c>
      <c r="Q266" s="107">
        <f t="shared" si="199"/>
        <v>378733.75</v>
      </c>
      <c r="R266" s="107">
        <f t="shared" si="199"/>
        <v>0</v>
      </c>
      <c r="S266" s="107">
        <f t="shared" si="199"/>
        <v>0</v>
      </c>
      <c r="T266" s="107">
        <f t="shared" si="199"/>
        <v>0</v>
      </c>
      <c r="U266" s="107">
        <f t="shared" si="199"/>
        <v>0</v>
      </c>
      <c r="V266" s="107">
        <f t="shared" si="199"/>
        <v>224167802.84100002</v>
      </c>
      <c r="W266" s="107">
        <f t="shared" si="199"/>
        <v>339665080.35099995</v>
      </c>
      <c r="Y266" s="175"/>
    </row>
    <row r="267" spans="2:27" x14ac:dyDescent="0.35">
      <c r="C267" s="92"/>
      <c r="D267" s="111" t="s">
        <v>13</v>
      </c>
      <c r="E267" s="72">
        <v>0</v>
      </c>
      <c r="F267" s="72">
        <v>0</v>
      </c>
      <c r="G267" s="72">
        <v>0</v>
      </c>
      <c r="H267" s="72">
        <v>0</v>
      </c>
      <c r="I267" s="72">
        <v>0</v>
      </c>
      <c r="J267" s="72">
        <v>0</v>
      </c>
      <c r="K267" s="72">
        <v>0</v>
      </c>
      <c r="L267" s="72">
        <v>0</v>
      </c>
      <c r="M267" s="72">
        <v>0</v>
      </c>
      <c r="N267" s="72">
        <v>0</v>
      </c>
      <c r="O267" s="72">
        <v>0</v>
      </c>
      <c r="P267" s="72">
        <v>0</v>
      </c>
      <c r="Q267" s="72">
        <v>0</v>
      </c>
      <c r="R267" s="72">
        <v>0</v>
      </c>
      <c r="S267" s="72">
        <v>0</v>
      </c>
      <c r="T267" s="72">
        <v>0</v>
      </c>
      <c r="U267" s="72">
        <v>0</v>
      </c>
      <c r="V267" s="72">
        <v>0</v>
      </c>
      <c r="W267" s="72">
        <v>0</v>
      </c>
      <c r="Y267" s="175"/>
    </row>
    <row r="268" spans="2:27" x14ac:dyDescent="0.35">
      <c r="C268" s="93"/>
      <c r="D268" s="112" t="s">
        <v>3</v>
      </c>
      <c r="E268" s="118">
        <f t="shared" ref="E268:I268" si="200">SUM(E266:E267)</f>
        <v>305802426.95115</v>
      </c>
      <c r="F268" s="118">
        <f t="shared" si="200"/>
        <v>190305149.44215003</v>
      </c>
      <c r="G268" s="118">
        <f t="shared" si="200"/>
        <v>22697847.001000002</v>
      </c>
      <c r="H268" s="118">
        <f t="shared" si="200"/>
        <v>92799430.509000003</v>
      </c>
      <c r="I268" s="118">
        <f t="shared" si="200"/>
        <v>32854809.639999997</v>
      </c>
      <c r="J268" s="118">
        <f t="shared" ref="J268:N268" si="201">SUM(J266:J267)</f>
        <v>339286346.60099995</v>
      </c>
      <c r="K268" s="118">
        <f t="shared" si="201"/>
        <v>22697847.001000002</v>
      </c>
      <c r="L268" s="118">
        <f t="shared" si="201"/>
        <v>92799430.509000003</v>
      </c>
      <c r="M268" s="118">
        <f t="shared" si="201"/>
        <v>223789069.09100002</v>
      </c>
      <c r="N268" s="118">
        <f t="shared" si="201"/>
        <v>378733.75</v>
      </c>
      <c r="O268" s="118">
        <f t="shared" ref="O268:U268" si="202">SUM(O266:O267)</f>
        <v>0</v>
      </c>
      <c r="P268" s="118">
        <f t="shared" si="202"/>
        <v>0</v>
      </c>
      <c r="Q268" s="118">
        <f t="shared" si="202"/>
        <v>378733.75</v>
      </c>
      <c r="R268" s="118">
        <f t="shared" si="202"/>
        <v>0</v>
      </c>
      <c r="S268" s="118">
        <f t="shared" si="202"/>
        <v>0</v>
      </c>
      <c r="T268" s="118">
        <f t="shared" si="202"/>
        <v>0</v>
      </c>
      <c r="U268" s="118">
        <f t="shared" si="202"/>
        <v>0</v>
      </c>
      <c r="V268" s="118">
        <f t="shared" ref="V268:W268" si="203">SUM(V266:V267)</f>
        <v>224167802.84100002</v>
      </c>
      <c r="W268" s="118">
        <f t="shared" si="203"/>
        <v>339665080.35099995</v>
      </c>
    </row>
    <row r="269" spans="2:27" x14ac:dyDescent="0.35">
      <c r="C269" s="94"/>
      <c r="D269" s="113" t="s">
        <v>14</v>
      </c>
      <c r="E269" s="72">
        <f t="shared" ref="E269:W269" si="204">E28</f>
        <v>15559416.559999999</v>
      </c>
      <c r="F269" s="72">
        <f t="shared" si="204"/>
        <v>13438028.370000001</v>
      </c>
      <c r="G269" s="72">
        <f t="shared" si="204"/>
        <v>648875.62000000011</v>
      </c>
      <c r="H269" s="72">
        <f t="shared" si="204"/>
        <v>1472512.5699999996</v>
      </c>
      <c r="I269" s="72">
        <f t="shared" si="204"/>
        <v>0</v>
      </c>
      <c r="J269" s="72">
        <f t="shared" si="204"/>
        <v>12324670.67</v>
      </c>
      <c r="K269" s="72">
        <f t="shared" si="204"/>
        <v>648875.62000000011</v>
      </c>
      <c r="L269" s="72">
        <f t="shared" si="204"/>
        <v>1472091.6899999997</v>
      </c>
      <c r="M269" s="72">
        <f t="shared" si="204"/>
        <v>10203703.359999999</v>
      </c>
      <c r="N269" s="72">
        <f t="shared" si="204"/>
        <v>277840</v>
      </c>
      <c r="O269" s="72">
        <f t="shared" si="204"/>
        <v>0</v>
      </c>
      <c r="P269" s="72">
        <f t="shared" si="204"/>
        <v>0</v>
      </c>
      <c r="Q269" s="72">
        <f t="shared" si="204"/>
        <v>277840</v>
      </c>
      <c r="R269" s="72">
        <f t="shared" si="204"/>
        <v>2956905.8900000011</v>
      </c>
      <c r="S269" s="72">
        <f t="shared" si="204"/>
        <v>0</v>
      </c>
      <c r="T269" s="72">
        <f t="shared" si="204"/>
        <v>420.88</v>
      </c>
      <c r="U269" s="72">
        <f t="shared" si="204"/>
        <v>2956485.0100000012</v>
      </c>
      <c r="V269" s="72">
        <f t="shared" si="204"/>
        <v>10481543.359999999</v>
      </c>
      <c r="W269" s="72">
        <f t="shared" si="204"/>
        <v>12602510.67</v>
      </c>
    </row>
    <row r="270" spans="2:27" x14ac:dyDescent="0.35">
      <c r="C270" s="94"/>
      <c r="D270" s="113" t="s">
        <v>15</v>
      </c>
      <c r="E270" s="72">
        <f t="shared" ref="E270:I270" si="205">E263-E269</f>
        <v>290243010.16650003</v>
      </c>
      <c r="F270" s="72">
        <f t="shared" si="205"/>
        <v>176867121.56822526</v>
      </c>
      <c r="G270" s="72">
        <f t="shared" si="205"/>
        <v>22418864.239999998</v>
      </c>
      <c r="H270" s="72">
        <f t="shared" si="205"/>
        <v>90957024.829999998</v>
      </c>
      <c r="I270" s="72">
        <f t="shared" si="205"/>
        <v>32854809.639999997</v>
      </c>
      <c r="J270" s="72">
        <f t="shared" ref="J270:N270" si="206">J263-J269</f>
        <v>154840181.10000002</v>
      </c>
      <c r="K270" s="72">
        <f t="shared" si="206"/>
        <v>13941242.199999999</v>
      </c>
      <c r="L270" s="72">
        <f t="shared" si="206"/>
        <v>60334875.745000005</v>
      </c>
      <c r="M270" s="72">
        <f t="shared" si="206"/>
        <v>80564063.155000001</v>
      </c>
      <c r="N270" s="72">
        <f t="shared" si="206"/>
        <v>163963494.7914027</v>
      </c>
      <c r="O270" s="72">
        <f t="shared" ref="O270:U270" si="207">O263-O269</f>
        <v>8011860.3900000006</v>
      </c>
      <c r="P270" s="72">
        <f t="shared" si="207"/>
        <v>30229511.559999999</v>
      </c>
      <c r="Q270" s="72">
        <f t="shared" si="207"/>
        <v>125722122.84140268</v>
      </c>
      <c r="R270" s="72">
        <f t="shared" si="207"/>
        <v>4294144.3868226167</v>
      </c>
      <c r="S270" s="72">
        <f t="shared" si="207"/>
        <v>465761.64999999967</v>
      </c>
      <c r="T270" s="72">
        <f t="shared" si="207"/>
        <v>392637.52500000014</v>
      </c>
      <c r="U270" s="72">
        <f t="shared" si="207"/>
        <v>3435745.2118226136</v>
      </c>
      <c r="V270" s="72">
        <f t="shared" ref="V270:W270" si="208">V263-V269</f>
        <v>206286185.99640268</v>
      </c>
      <c r="W270" s="72">
        <f t="shared" si="208"/>
        <v>318803675.89140266</v>
      </c>
    </row>
    <row r="271" spans="2:27" x14ac:dyDescent="0.35">
      <c r="C271" s="93"/>
      <c r="D271" s="112" t="s">
        <v>11</v>
      </c>
      <c r="E271" s="116">
        <f t="shared" ref="E271:I271" si="209">SUM(E269:E270)</f>
        <v>305802426.72650003</v>
      </c>
      <c r="F271" s="116">
        <f t="shared" si="209"/>
        <v>190305149.93822527</v>
      </c>
      <c r="G271" s="116">
        <f t="shared" si="209"/>
        <v>23067739.859999999</v>
      </c>
      <c r="H271" s="116">
        <f t="shared" si="209"/>
        <v>92429537.399999991</v>
      </c>
      <c r="I271" s="116">
        <f t="shared" si="209"/>
        <v>32854809.639999997</v>
      </c>
      <c r="J271" s="116">
        <f t="shared" ref="J271:N271" si="210">SUM(J269:J270)</f>
        <v>167164851.77000001</v>
      </c>
      <c r="K271" s="116">
        <f t="shared" si="210"/>
        <v>14590117.82</v>
      </c>
      <c r="L271" s="116">
        <f t="shared" si="210"/>
        <v>61806967.435000002</v>
      </c>
      <c r="M271" s="116">
        <f t="shared" si="210"/>
        <v>90767766.515000001</v>
      </c>
      <c r="N271" s="116">
        <f t="shared" si="210"/>
        <v>164241334.7914027</v>
      </c>
      <c r="O271" s="116">
        <f t="shared" ref="O271:U271" si="211">SUM(O269:O270)</f>
        <v>8011860.3900000006</v>
      </c>
      <c r="P271" s="116">
        <f t="shared" si="211"/>
        <v>30229511.559999999</v>
      </c>
      <c r="Q271" s="116">
        <f t="shared" si="211"/>
        <v>125999962.84140268</v>
      </c>
      <c r="R271" s="116">
        <f t="shared" si="211"/>
        <v>7251050.2768226173</v>
      </c>
      <c r="S271" s="116">
        <f t="shared" si="211"/>
        <v>465761.64999999967</v>
      </c>
      <c r="T271" s="116">
        <f t="shared" si="211"/>
        <v>393058.40500000014</v>
      </c>
      <c r="U271" s="116">
        <f t="shared" si="211"/>
        <v>6392230.2218226148</v>
      </c>
      <c r="V271" s="116">
        <f t="shared" ref="V271:W271" si="212">SUM(V269:V270)</f>
        <v>216767729.3564027</v>
      </c>
      <c r="W271" s="116">
        <f t="shared" si="212"/>
        <v>331406186.56140268</v>
      </c>
    </row>
    <row r="272" spans="2:27" x14ac:dyDescent="0.35">
      <c r="C272" s="95"/>
      <c r="D272" s="110"/>
      <c r="E272" s="188"/>
      <c r="F272" s="188"/>
      <c r="G272" s="188"/>
      <c r="H272" s="188"/>
      <c r="I272" s="188"/>
      <c r="J272" s="188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</row>
    <row r="273" spans="3:23" x14ac:dyDescent="0.35">
      <c r="C273" s="93"/>
      <c r="D273" s="112" t="s">
        <v>17</v>
      </c>
      <c r="E273" s="185">
        <f>E268-E271-1</f>
        <v>-0.77535003423690796</v>
      </c>
      <c r="F273" s="116">
        <f>F268-F271-1</f>
        <v>-1.4960752427577972</v>
      </c>
      <c r="G273" s="116">
        <f t="shared" ref="G273:I273" si="213">G268-G271</f>
        <v>-369892.85899999738</v>
      </c>
      <c r="H273" s="116">
        <f t="shared" si="213"/>
        <v>369893.10900001228</v>
      </c>
      <c r="I273" s="116">
        <f t="shared" si="213"/>
        <v>0</v>
      </c>
      <c r="J273" s="116">
        <f t="shared" ref="J273:N273" si="214">J268-J271</f>
        <v>172121494.83099994</v>
      </c>
      <c r="K273" s="116">
        <f t="shared" si="214"/>
        <v>8107729.1810000017</v>
      </c>
      <c r="L273" s="116">
        <f t="shared" si="214"/>
        <v>30992463.074000001</v>
      </c>
      <c r="M273" s="116">
        <f t="shared" si="214"/>
        <v>133021302.57600002</v>
      </c>
      <c r="N273" s="116">
        <f t="shared" si="214"/>
        <v>-163862601.0414027</v>
      </c>
      <c r="O273" s="116">
        <f t="shared" ref="O273:U273" si="215">O268-O271</f>
        <v>-8011860.3900000006</v>
      </c>
      <c r="P273" s="116">
        <f t="shared" si="215"/>
        <v>-30229511.559999999</v>
      </c>
      <c r="Q273" s="116">
        <f t="shared" si="215"/>
        <v>-125621229.09140268</v>
      </c>
      <c r="R273" s="116">
        <f t="shared" si="215"/>
        <v>-7251050.2768226173</v>
      </c>
      <c r="S273" s="116">
        <f t="shared" si="215"/>
        <v>-465761.64999999967</v>
      </c>
      <c r="T273" s="116">
        <f t="shared" si="215"/>
        <v>-393058.40500000014</v>
      </c>
      <c r="U273" s="116">
        <f t="shared" si="215"/>
        <v>-6392230.2218226148</v>
      </c>
      <c r="V273" s="116">
        <f>V268-V271</f>
        <v>7400073.4845973253</v>
      </c>
      <c r="W273" s="116">
        <f t="shared" ref="W273" si="216">W268-W271</f>
        <v>8258893.7895972729</v>
      </c>
    </row>
    <row r="274" spans="3:23" ht="16" hidden="1" thickBot="1" x14ac:dyDescent="0.4">
      <c r="C274" s="93"/>
      <c r="D274" s="112" t="s">
        <v>493</v>
      </c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314">
        <f>(V9-V259-V260)*-1</f>
        <v>2.2351741790771484E-8</v>
      </c>
      <c r="W274" s="314">
        <f>V274</f>
        <v>2.2351741790771484E-8</v>
      </c>
    </row>
    <row r="275" spans="3:23" ht="16" hidden="1" thickBot="1" x14ac:dyDescent="0.4">
      <c r="C275" s="93"/>
      <c r="D275" s="112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313"/>
      <c r="V275" s="316">
        <f>V273+V274</f>
        <v>7400073.4845973477</v>
      </c>
      <c r="W275" s="317">
        <f>W273+W274</f>
        <v>8258893.7895972952</v>
      </c>
    </row>
    <row r="276" spans="3:23" x14ac:dyDescent="0.35">
      <c r="C276" s="92"/>
      <c r="D276" s="11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315"/>
      <c r="W276" s="315"/>
    </row>
    <row r="277" spans="3:23" x14ac:dyDescent="0.35">
      <c r="C277" s="93"/>
      <c r="D277" s="115" t="s">
        <v>69</v>
      </c>
      <c r="E277" s="72">
        <f t="shared" ref="E277:W277" si="217">E28+E37-E44+E46+E261</f>
        <v>19766674.349999998</v>
      </c>
      <c r="F277" s="72">
        <f t="shared" si="217"/>
        <v>17020489.266075268</v>
      </c>
      <c r="G277" s="72">
        <f t="shared" si="217"/>
        <v>648875.62000000011</v>
      </c>
      <c r="H277" s="72">
        <f t="shared" si="217"/>
        <v>2097309.4599999995</v>
      </c>
      <c r="I277" s="72">
        <f t="shared" si="217"/>
        <v>0</v>
      </c>
      <c r="J277" s="72">
        <f t="shared" si="217"/>
        <v>14756573.979999999</v>
      </c>
      <c r="K277" s="72">
        <f t="shared" si="217"/>
        <v>648875.62000000011</v>
      </c>
      <c r="L277" s="72">
        <f t="shared" si="217"/>
        <v>1847829.1299999997</v>
      </c>
      <c r="M277" s="72">
        <f t="shared" si="217"/>
        <v>12259869.229999999</v>
      </c>
      <c r="N277" s="72">
        <f t="shared" si="217"/>
        <v>1960856.71</v>
      </c>
      <c r="O277" s="72">
        <f t="shared" si="217"/>
        <v>0</v>
      </c>
      <c r="P277" s="72">
        <f t="shared" si="217"/>
        <v>249059.45</v>
      </c>
      <c r="Q277" s="72">
        <f t="shared" si="217"/>
        <v>1711797.2600000002</v>
      </c>
      <c r="R277" s="72">
        <f t="shared" si="217"/>
        <v>3049243.6560752699</v>
      </c>
      <c r="S277" s="72">
        <f t="shared" si="217"/>
        <v>0</v>
      </c>
      <c r="T277" s="72">
        <f t="shared" si="217"/>
        <v>420.88</v>
      </c>
      <c r="U277" s="72">
        <f t="shared" si="217"/>
        <v>3048822.77607527</v>
      </c>
      <c r="V277" s="72">
        <f t="shared" si="217"/>
        <v>13971666.49</v>
      </c>
      <c r="W277" s="72">
        <f t="shared" si="217"/>
        <v>16717430.690000001</v>
      </c>
    </row>
    <row r="278" spans="3:23" ht="16" thickBot="1" x14ac:dyDescent="0.4">
      <c r="C278" s="96"/>
      <c r="D278" s="114" t="s">
        <v>199</v>
      </c>
      <c r="E278" s="120">
        <f t="shared" ref="E278:W278" si="218">E53+E44+E258</f>
        <v>3579243.1374999997</v>
      </c>
      <c r="F278" s="120">
        <f t="shared" si="218"/>
        <v>2602484.2174999998</v>
      </c>
      <c r="G278" s="120">
        <f t="shared" si="218"/>
        <v>115756.35</v>
      </c>
      <c r="H278" s="120">
        <f t="shared" si="218"/>
        <v>861002.57</v>
      </c>
      <c r="I278" s="120">
        <f t="shared" si="218"/>
        <v>0</v>
      </c>
      <c r="J278" s="120">
        <f t="shared" si="218"/>
        <v>2814672.54</v>
      </c>
      <c r="K278" s="120">
        <f t="shared" si="218"/>
        <v>115756.35</v>
      </c>
      <c r="L278" s="120">
        <f t="shared" si="218"/>
        <v>861002.57</v>
      </c>
      <c r="M278" s="120">
        <f t="shared" si="218"/>
        <v>1837913.6199999999</v>
      </c>
      <c r="N278" s="120">
        <f t="shared" si="218"/>
        <v>856908.37</v>
      </c>
      <c r="O278" s="120">
        <f t="shared" si="218"/>
        <v>0</v>
      </c>
      <c r="P278" s="120">
        <f t="shared" si="218"/>
        <v>0</v>
      </c>
      <c r="Q278" s="120">
        <f t="shared" si="218"/>
        <v>856908.37</v>
      </c>
      <c r="R278" s="120">
        <f t="shared" si="218"/>
        <v>-92337.772499999919</v>
      </c>
      <c r="S278" s="120">
        <f t="shared" si="218"/>
        <v>0</v>
      </c>
      <c r="T278" s="120">
        <f t="shared" si="218"/>
        <v>0</v>
      </c>
      <c r="U278" s="120">
        <f t="shared" si="218"/>
        <v>-92337.772499999919</v>
      </c>
      <c r="V278" s="120">
        <f t="shared" si="218"/>
        <v>2694821.9899999993</v>
      </c>
      <c r="W278" s="120">
        <f t="shared" si="218"/>
        <v>3671580.9099999992</v>
      </c>
    </row>
    <row r="279" spans="3:23" ht="16" thickTop="1" x14ac:dyDescent="0.35"/>
    <row r="281" spans="3:23" x14ac:dyDescent="0.35">
      <c r="D281" t="s">
        <v>501</v>
      </c>
      <c r="O281" s="175"/>
    </row>
    <row r="282" spans="3:23" hidden="1" x14ac:dyDescent="0.35">
      <c r="E282" s="343">
        <f>E263-[3]Budget!$E$263</f>
        <v>0.61873853206634521</v>
      </c>
      <c r="F282" s="343">
        <f>F263-[3]Budget!$F$263</f>
        <v>1.0394638180732727</v>
      </c>
      <c r="G282" s="343">
        <f>G263-[3]Budget!$G$263</f>
        <v>369892.8599999994</v>
      </c>
      <c r="H282" s="343">
        <f>H263-[3]Budget!$H$263</f>
        <v>-369892.80000001192</v>
      </c>
      <c r="I282" s="343">
        <f>I263-[3]Budget!$I$263</f>
        <v>0</v>
      </c>
      <c r="J282" s="343">
        <f>J263-[3]Budget!$J$263</f>
        <v>-0.3099999725818634</v>
      </c>
      <c r="K282" s="343">
        <f>K263-[3]Budget!$K$263</f>
        <v>-0.25</v>
      </c>
      <c r="L282" s="343">
        <f>L263-[3]Budget!$L$263</f>
        <v>-132738.01999999583</v>
      </c>
      <c r="M282" s="343">
        <f>M263-[3]Budget!$M$263</f>
        <v>132737.96000000834</v>
      </c>
      <c r="N282" s="343">
        <f>N263-[3]Budget!$N$263</f>
        <v>388905.44499999285</v>
      </c>
      <c r="O282" s="343">
        <f>O263-[3]Budget!$O$263</f>
        <v>369893.11000000127</v>
      </c>
      <c r="P282" s="343">
        <f>P263-[3]Budget!$P$263</f>
        <v>151750.35000000149</v>
      </c>
      <c r="Q282" s="343">
        <f>Q263-[3]Budget!$Q$263</f>
        <v>-132738.0150000006</v>
      </c>
      <c r="R282" s="343">
        <f>R263-[3]Budget!$R$263</f>
        <v>0.8344638142734766</v>
      </c>
      <c r="S282" s="343">
        <f>S263-[3]Budget!$S$263</f>
        <v>-0.26000000030035153</v>
      </c>
      <c r="T282" s="343">
        <f>T263-[3]Budget!$T$263</f>
        <v>-388905.13</v>
      </c>
      <c r="U282" s="343">
        <f>U263-[3]Budget!$U$263</f>
        <v>388906.22446381487</v>
      </c>
      <c r="V282" s="343">
        <f>V263-[3]Budget!$V$263</f>
        <v>-5.5000007152557373E-2</v>
      </c>
      <c r="W282" s="343">
        <f>W263-[3]Budget!$W$263</f>
        <v>388905.13499999046</v>
      </c>
    </row>
    <row r="283" spans="3:23" hidden="1" x14ac:dyDescent="0.35"/>
    <row r="284" spans="3:23" hidden="1" x14ac:dyDescent="0.35"/>
    <row r="285" spans="3:23" hidden="1" x14ac:dyDescent="0.35"/>
    <row r="286" spans="3:23" hidden="1" x14ac:dyDescent="0.35">
      <c r="J286" s="175"/>
    </row>
    <row r="287" spans="3:23" hidden="1" x14ac:dyDescent="0.35">
      <c r="E287" s="341">
        <f>E263+I263</f>
        <v>338657236.36650002</v>
      </c>
    </row>
    <row r="288" spans="3:23" hidden="1" x14ac:dyDescent="0.35">
      <c r="E288" s="341">
        <f>J263+N263+R263</f>
        <v>338657236.83822531</v>
      </c>
    </row>
    <row r="289" spans="5:5" hidden="1" x14ac:dyDescent="0.35">
      <c r="E289" s="342">
        <f>E287-E288</f>
        <v>-0.47172528505325317</v>
      </c>
    </row>
    <row r="290" spans="5:5" hidden="1" x14ac:dyDescent="0.35"/>
  </sheetData>
  <sheetProtection algorithmName="SHA-512" hashValue="tlFmcH2CCP0lcoGbwnraps/BP9FlyDwEG3okMi/2asKKGVPBEUbjstUu892pR5Ly9LgWYTDnArC6MHusVqMYeg==" saltValue="XouQu/pGCzvl/kwECCeC8A==" spinCount="100000" sheet="1" objects="1" scenarios="1"/>
  <mergeCells count="2">
    <mergeCell ref="D1:D2"/>
    <mergeCell ref="X24:Y24"/>
  </mergeCells>
  <phoneticPr fontId="32" type="noConversion"/>
  <conditionalFormatting sqref="N103">
    <cfRule type="expression" dxfId="0" priority="19">
      <formula>(J103+N103)&gt;E103</formula>
    </cfRule>
  </conditionalFormatting>
  <dataValidations count="2">
    <dataValidation allowBlank="1" showInputMessage="1" showErrorMessage="1" promptTitle="Feld Bezeichnung HHP" prompt="Bitte die Kurzbezeichnung des Haushaltsprogramms mit maximal 20 Zeichen eingeben._x000a_" sqref="D114 D129:D139 D127" xr:uid="{A6826DD7-32D0-4E24-95B0-875826EA9B49}"/>
    <dataValidation allowBlank="1" showInputMessage="1" showErrorMessage="1" promptTitle="Feld Beschreibung HHP" prompt="Bitte die Beschreibung des Haushaltsprogramms mit maximal 50 Zeichen eingeben." sqref="D115 D120:D122 D128" xr:uid="{7DDEDED2-43A1-4D5A-8B00-DA94D23C5478}"/>
  </dataValidations>
  <pageMargins left="0.70866141732283472" right="0.70866141732283472" top="0.78740157480314965" bottom="0.78740157480314965" header="0.31496062992125984" footer="0.31496062992125984"/>
  <pageSetup paperSize="9" scale="41" fitToHeight="0" orientation="landscape" r:id="rId1"/>
  <headerFooter>
    <oddFooter>&amp;LFITKO Ergebnis 2025 V_1.1&amp;C06.03.2026&amp;R&amp;F</oddFooter>
  </headerFooter>
  <rowBreaks count="5" manualBreakCount="5">
    <brk id="36" min="2" max="20" man="1"/>
    <brk id="65" min="2" max="20" man="1"/>
    <brk id="102" min="2" max="20" man="1"/>
    <brk id="164" max="16383" man="1"/>
    <brk id="248" max="16383" man="1"/>
  </rowBreaks>
  <ignoredErrors>
    <ignoredError sqref="E173" formulaRange="1"/>
    <ignoredError sqref="M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pageSetUpPr fitToPage="1"/>
  </sheetPr>
  <dimension ref="A1:AI36"/>
  <sheetViews>
    <sheetView zoomScale="75" zoomScaleNormal="75" workbookViewId="0">
      <selection activeCell="A13" sqref="A13"/>
    </sheetView>
  </sheetViews>
  <sheetFormatPr baseColWidth="10" defaultColWidth="11.54296875" defaultRowHeight="15.5" x14ac:dyDescent="0.35"/>
  <cols>
    <col min="1" max="1" width="28.54296875" style="1" customWidth="1"/>
    <col min="2" max="2" width="13.7265625" style="1" customWidth="1"/>
    <col min="3" max="5" width="20.81640625" style="1" bestFit="1" customWidth="1"/>
    <col min="6" max="6" width="21.453125" style="1" bestFit="1" customWidth="1"/>
    <col min="7" max="7" width="20" style="2" bestFit="1" customWidth="1"/>
    <col min="8" max="8" width="16.7265625" style="2" bestFit="1" customWidth="1"/>
    <col min="9" max="9" width="20.54296875" style="1" bestFit="1" customWidth="1"/>
    <col min="10" max="10" width="21.7265625" style="1" customWidth="1"/>
    <col min="11" max="12" width="18.1796875" style="1" bestFit="1" customWidth="1"/>
    <col min="13" max="13" width="20.54296875" style="1" bestFit="1" customWidth="1"/>
    <col min="14" max="14" width="17.26953125" style="1" bestFit="1" customWidth="1"/>
    <col min="15" max="16" width="16.1796875" style="1" bestFit="1" customWidth="1"/>
    <col min="17" max="17" width="16.26953125" style="1" bestFit="1" customWidth="1"/>
    <col min="18" max="19" width="16" style="1" customWidth="1"/>
    <col min="20" max="21" width="16.7265625" style="1" customWidth="1"/>
    <col min="22" max="22" width="21.453125" style="1" bestFit="1" customWidth="1"/>
    <col min="23" max="23" width="21.453125" style="1" customWidth="1"/>
    <col min="24" max="25" width="21.453125" style="1" bestFit="1" customWidth="1"/>
    <col min="26" max="16384" width="11.54296875" style="1"/>
  </cols>
  <sheetData>
    <row r="1" spans="1:35" ht="24" customHeight="1" thickTop="1" x14ac:dyDescent="0.35">
      <c r="A1" s="43" t="s">
        <v>195</v>
      </c>
      <c r="B1" s="358" t="s">
        <v>194</v>
      </c>
      <c r="C1" s="359"/>
      <c r="D1" s="359"/>
      <c r="E1" s="359"/>
      <c r="F1" s="359"/>
      <c r="G1" s="358" t="s">
        <v>97</v>
      </c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67" t="s">
        <v>96</v>
      </c>
      <c r="S1" s="367"/>
      <c r="T1" s="367"/>
      <c r="U1" s="367"/>
      <c r="V1" s="368"/>
      <c r="W1" s="198"/>
      <c r="X1" s="198"/>
      <c r="Y1" s="204"/>
    </row>
    <row r="2" spans="1:35" s="5" customFormat="1" ht="99.75" hidden="1" customHeight="1" thickTop="1" x14ac:dyDescent="0.35">
      <c r="A2" s="44"/>
      <c r="B2" s="51"/>
      <c r="C2" s="3"/>
      <c r="D2" s="3"/>
      <c r="E2" s="3"/>
      <c r="F2" s="3"/>
      <c r="G2" s="59"/>
      <c r="H2" s="4"/>
      <c r="I2" s="19" t="s">
        <v>73</v>
      </c>
      <c r="J2" s="20" t="s">
        <v>72</v>
      </c>
      <c r="K2" s="21"/>
      <c r="L2" s="21"/>
      <c r="M2" s="19" t="s">
        <v>73</v>
      </c>
      <c r="N2" s="32"/>
      <c r="O2" s="129"/>
      <c r="P2" s="129"/>
      <c r="Q2" s="60"/>
      <c r="R2" s="147"/>
      <c r="S2" s="147"/>
      <c r="T2" s="148"/>
      <c r="U2" s="148"/>
      <c r="V2" s="67"/>
      <c r="W2" s="67"/>
      <c r="X2" s="67"/>
      <c r="Y2" s="67"/>
    </row>
    <row r="3" spans="1:35" s="9" customFormat="1" ht="77.5" x14ac:dyDescent="0.35">
      <c r="A3" s="45"/>
      <c r="B3" s="52" t="s">
        <v>129</v>
      </c>
      <c r="C3" s="7" t="s">
        <v>74</v>
      </c>
      <c r="D3" s="7" t="s">
        <v>155</v>
      </c>
      <c r="E3" s="7" t="s">
        <v>202</v>
      </c>
      <c r="F3" s="7" t="s">
        <v>127</v>
      </c>
      <c r="G3" s="61" t="s">
        <v>206</v>
      </c>
      <c r="H3" s="34" t="s">
        <v>205</v>
      </c>
      <c r="I3" s="6" t="s">
        <v>207</v>
      </c>
      <c r="J3" s="8" t="s">
        <v>209</v>
      </c>
      <c r="K3" s="38" t="s">
        <v>201</v>
      </c>
      <c r="L3" s="122" t="s">
        <v>203</v>
      </c>
      <c r="M3" s="6" t="s">
        <v>208</v>
      </c>
      <c r="N3" s="6" t="s">
        <v>210</v>
      </c>
      <c r="O3" s="130" t="s">
        <v>373</v>
      </c>
      <c r="P3" s="6" t="s">
        <v>370</v>
      </c>
      <c r="Q3" s="145" t="s">
        <v>95</v>
      </c>
      <c r="R3" s="154" t="s">
        <v>345</v>
      </c>
      <c r="S3" s="150" t="s">
        <v>369</v>
      </c>
      <c r="T3" s="6" t="s">
        <v>141</v>
      </c>
      <c r="U3" s="6" t="s">
        <v>124</v>
      </c>
      <c r="V3" s="68" t="s">
        <v>371</v>
      </c>
      <c r="W3" s="68" t="s">
        <v>374</v>
      </c>
      <c r="X3" s="68" t="s">
        <v>372</v>
      </c>
      <c r="Y3" s="68" t="s">
        <v>377</v>
      </c>
    </row>
    <row r="4" spans="1:35" s="11" customFormat="1" ht="33.75" customHeight="1" thickBot="1" x14ac:dyDescent="0.4">
      <c r="A4" s="46"/>
      <c r="B4" s="53"/>
      <c r="C4" s="10"/>
      <c r="D4" s="10"/>
      <c r="E4" s="10"/>
      <c r="F4" s="10"/>
      <c r="G4" s="62">
        <f>Budget!V277</f>
        <v>13971666.49</v>
      </c>
      <c r="H4" s="62">
        <f>Budget!V278</f>
        <v>2694821.9899999993</v>
      </c>
      <c r="I4" s="35">
        <f>Budget!V66</f>
        <v>6105117.0099999998</v>
      </c>
      <c r="J4" s="30">
        <f>Budget!V86-Budget!V90-Budget!V91</f>
        <v>44686733.436402664</v>
      </c>
      <c r="K4" s="31">
        <f>Budget!V90</f>
        <v>359894.51</v>
      </c>
      <c r="L4" s="195">
        <f>Budget!V91</f>
        <v>3151095.08</v>
      </c>
      <c r="M4" s="31">
        <f>Budget!V104</f>
        <v>84849582.780000001</v>
      </c>
      <c r="N4" s="30">
        <f>Budget!V253+Budget!V254</f>
        <v>25000000</v>
      </c>
      <c r="O4" s="196">
        <f>Budget!V253</f>
        <v>15000000</v>
      </c>
      <c r="P4" s="232">
        <f>Budget!V259+Budget!V260</f>
        <v>32854809.640000019</v>
      </c>
      <c r="Q4" s="197">
        <f>SUM(G4:P4)</f>
        <v>228673720.93640268</v>
      </c>
      <c r="R4" s="229">
        <v>6535865.050999999</v>
      </c>
      <c r="S4" s="229">
        <v>0</v>
      </c>
      <c r="T4" s="151">
        <f>Budget!V7+Budget!V14+Budget!V18+Budget!V20</f>
        <v>2240017.58</v>
      </c>
      <c r="U4" s="231">
        <f>Budget!V9</f>
        <v>32854809.639999997</v>
      </c>
      <c r="V4" s="201">
        <f>V23</f>
        <v>168319297.88975057</v>
      </c>
      <c r="W4" s="201">
        <f>Q4-P4-R4-S4-T4</f>
        <v>187043028.66540265</v>
      </c>
      <c r="X4" s="69">
        <f>V4-W4</f>
        <v>-18723730.775652081</v>
      </c>
      <c r="Y4" s="69">
        <f>Budget!W273-Budget!X23</f>
        <v>858820.2849625349</v>
      </c>
    </row>
    <row r="5" spans="1:35" ht="30.75" customHeight="1" thickBot="1" x14ac:dyDescent="0.4">
      <c r="A5" s="47" t="s">
        <v>75</v>
      </c>
      <c r="B5" s="54"/>
      <c r="C5" s="24">
        <v>0.25</v>
      </c>
      <c r="D5" s="24">
        <v>0.35</v>
      </c>
      <c r="E5" s="133">
        <f>0.2268+((1-0.2268)*B7)+((1-0.2268)*B9)</f>
        <v>0.37054244188000002</v>
      </c>
      <c r="F5" s="24">
        <v>0.1779</v>
      </c>
      <c r="G5" s="63">
        <f t="shared" ref="G5:G21" si="0">$G$4*0.9*C5</f>
        <v>3143624.96025</v>
      </c>
      <c r="H5" s="33">
        <f t="shared" ref="H5:H21" si="1">$H$4*C5</f>
        <v>673705.49749999982</v>
      </c>
      <c r="I5" s="25">
        <f t="shared" ref="I5:I21" si="2">$I$4*C5</f>
        <v>1526279.2524999999</v>
      </c>
      <c r="J5" s="26">
        <f t="shared" ref="J5:J21" si="3">$J$4*C5</f>
        <v>11171683.359100666</v>
      </c>
      <c r="K5" s="39">
        <f>K$4*F5</f>
        <v>64025.233329000002</v>
      </c>
      <c r="L5" s="33">
        <f t="shared" ref="L5:L21" si="4">L$4*E5</f>
        <v>1167614.465539254</v>
      </c>
      <c r="M5" s="25">
        <f>$M$4*C5</f>
        <v>21212395.695</v>
      </c>
      <c r="N5" s="25">
        <f>$N$4*C5</f>
        <v>6250000</v>
      </c>
      <c r="O5" s="131">
        <f>$O$4*C5</f>
        <v>3750000</v>
      </c>
      <c r="P5" s="25">
        <v>0</v>
      </c>
      <c r="Q5" s="64">
        <f>SUM(G5:P5)</f>
        <v>48959328.46321892</v>
      </c>
      <c r="R5" s="63">
        <f t="shared" ref="R5:R21" si="5">$R$4*C5</f>
        <v>1633966.2627499998</v>
      </c>
      <c r="S5" s="63">
        <v>0</v>
      </c>
      <c r="T5" s="63">
        <f>T$4*0.9*$C5</f>
        <v>504003.95550000004</v>
      </c>
      <c r="U5" s="63">
        <v>0</v>
      </c>
      <c r="V5" s="199">
        <v>44562130.941762432</v>
      </c>
      <c r="W5" s="201">
        <f t="shared" ref="W5:W22" si="6">Q5-P5-R5-S5-T5</f>
        <v>46821358.244968921</v>
      </c>
      <c r="X5" s="69">
        <f t="shared" ref="X5:X22" si="7">V5-W5</f>
        <v>-2259227.3032064885</v>
      </c>
      <c r="Y5" s="69">
        <f>$Y$4*C5</f>
        <v>214705.07124063373</v>
      </c>
    </row>
    <row r="6" spans="1:35" ht="30.75" customHeight="1" thickBot="1" x14ac:dyDescent="0.4">
      <c r="A6" s="48" t="s">
        <v>76</v>
      </c>
      <c r="B6" s="55">
        <v>0.1304061</v>
      </c>
      <c r="C6" s="27">
        <f>B6*75/100</f>
        <v>9.7804574999999991E-2</v>
      </c>
      <c r="D6" s="27">
        <f>B6*65/100</f>
        <v>8.4763964999999997E-2</v>
      </c>
      <c r="E6" s="37">
        <f>(1-0.2268)*B6</f>
        <v>0.10082999651999999</v>
      </c>
      <c r="F6" s="37">
        <f>B6*(1-F$5)</f>
        <v>0.10720685481</v>
      </c>
      <c r="G6" s="63">
        <f t="shared" si="0"/>
        <v>1229843.6127865724</v>
      </c>
      <c r="H6" s="33">
        <f t="shared" si="1"/>
        <v>263565.91943260416</v>
      </c>
      <c r="I6" s="25">
        <f t="shared" si="2"/>
        <v>597108.37448832067</v>
      </c>
      <c r="J6" s="26">
        <f t="shared" si="3"/>
        <v>4370566.9718856514</v>
      </c>
      <c r="K6" s="39">
        <f t="shared" ref="K6:K21" si="8">K$4*F6</f>
        <v>38583.158480486098</v>
      </c>
      <c r="L6" s="33">
        <f t="shared" si="4"/>
        <v>317724.90595058911</v>
      </c>
      <c r="M6" s="25">
        <f t="shared" ref="M6:M21" si="9">$M$4*C6</f>
        <v>8298677.3827252174</v>
      </c>
      <c r="N6" s="25">
        <f t="shared" ref="N6:N21" si="10">$N$4*C6</f>
        <v>2445114.375</v>
      </c>
      <c r="O6" s="131">
        <f t="shared" ref="O6:O21" si="11">$O$4*C6</f>
        <v>1467068.6249999998</v>
      </c>
      <c r="P6" s="25">
        <v>0</v>
      </c>
      <c r="Q6" s="64">
        <f t="shared" ref="Q6:Q22" si="12">SUM(G6:P6)</f>
        <v>19028253.325749442</v>
      </c>
      <c r="R6" s="63">
        <f t="shared" si="5"/>
        <v>639237.50357040821</v>
      </c>
      <c r="S6" s="152">
        <v>0</v>
      </c>
      <c r="T6" s="152">
        <f t="shared" ref="T6:T21" si="13">T$4*0.9*$C6</f>
        <v>197175.57066398565</v>
      </c>
      <c r="U6" s="152">
        <v>0</v>
      </c>
      <c r="V6" s="199">
        <v>16061011.651081368</v>
      </c>
      <c r="W6" s="201">
        <f t="shared" si="6"/>
        <v>18191840.251515049</v>
      </c>
      <c r="X6" s="69">
        <f t="shared" si="7"/>
        <v>-2130828.6004336812</v>
      </c>
      <c r="Y6" s="69">
        <f t="shared" ref="Y6:Y22" si="14">$Y$4*C6</f>
        <v>83996.552972139616</v>
      </c>
    </row>
    <row r="7" spans="1:35" ht="30.75" customHeight="1" thickBot="1" x14ac:dyDescent="0.4">
      <c r="A7" s="48" t="s">
        <v>77</v>
      </c>
      <c r="B7" s="55">
        <v>0.1556072</v>
      </c>
      <c r="C7" s="27">
        <f t="shared" ref="C7:C21" si="15">B7*75/100</f>
        <v>0.11670540000000001</v>
      </c>
      <c r="D7" s="27">
        <f t="shared" ref="D7:D21" si="16">B7*65/100</f>
        <v>0.10114468</v>
      </c>
      <c r="E7" s="132">
        <v>0</v>
      </c>
      <c r="F7" s="37">
        <f t="shared" ref="F7:F21" si="17">B7*(1-F$5)</f>
        <v>0.12792467912</v>
      </c>
      <c r="G7" s="63">
        <f t="shared" si="0"/>
        <v>1467512.0337438416</v>
      </c>
      <c r="H7" s="33">
        <f t="shared" si="1"/>
        <v>314500.27827174595</v>
      </c>
      <c r="I7" s="25">
        <f t="shared" si="2"/>
        <v>712500.12269885407</v>
      </c>
      <c r="J7" s="26">
        <f t="shared" si="3"/>
        <v>5215183.1003887476</v>
      </c>
      <c r="K7" s="39">
        <f t="shared" si="8"/>
        <v>46039.38970879963</v>
      </c>
      <c r="L7" s="33">
        <f t="shared" si="4"/>
        <v>0</v>
      </c>
      <c r="M7" s="25">
        <f t="shared" si="9"/>
        <v>9902404.4981730133</v>
      </c>
      <c r="N7" s="25">
        <f t="shared" si="10"/>
        <v>2917635.0000000005</v>
      </c>
      <c r="O7" s="131">
        <f t="shared" si="11"/>
        <v>1750581.0000000002</v>
      </c>
      <c r="P7" s="25">
        <v>0</v>
      </c>
      <c r="Q7" s="64">
        <f t="shared" si="12"/>
        <v>22326355.422985002</v>
      </c>
      <c r="R7" s="63">
        <f t="shared" si="5"/>
        <v>762770.74512297544</v>
      </c>
      <c r="S7" s="152">
        <v>0</v>
      </c>
      <c r="T7" s="152">
        <f t="shared" si="13"/>
        <v>235279.93291283885</v>
      </c>
      <c r="U7" s="152">
        <v>0</v>
      </c>
      <c r="V7" s="199">
        <v>18925775.976856146</v>
      </c>
      <c r="W7" s="201">
        <f t="shared" si="6"/>
        <v>21328304.744949188</v>
      </c>
      <c r="X7" s="69">
        <f t="shared" si="7"/>
        <v>-2402528.7680930421</v>
      </c>
      <c r="Y7" s="69">
        <f t="shared" si="14"/>
        <v>100228.96488466664</v>
      </c>
    </row>
    <row r="8" spans="1:35" ht="30.75" customHeight="1" thickBot="1" x14ac:dyDescent="0.4">
      <c r="A8" s="48" t="s">
        <v>78</v>
      </c>
      <c r="B8" s="55">
        <v>5.1899500000000001E-2</v>
      </c>
      <c r="C8" s="27">
        <f t="shared" si="15"/>
        <v>3.8924625000000004E-2</v>
      </c>
      <c r="D8" s="27">
        <f t="shared" si="16"/>
        <v>3.3734675000000006E-2</v>
      </c>
      <c r="E8" s="37">
        <f>(1-0.2268)*B8</f>
        <v>4.0128693399999998E-2</v>
      </c>
      <c r="F8" s="37">
        <f t="shared" si="17"/>
        <v>4.2666578950000006E-2</v>
      </c>
      <c r="G8" s="63">
        <f t="shared" si="0"/>
        <v>489457.69087348471</v>
      </c>
      <c r="H8" s="33">
        <f t="shared" si="1"/>
        <v>104894.93540250373</v>
      </c>
      <c r="I8" s="25">
        <f t="shared" si="2"/>
        <v>237639.39019537126</v>
      </c>
      <c r="J8" s="26">
        <f t="shared" si="3"/>
        <v>1739414.3414869353</v>
      </c>
      <c r="K8" s="39">
        <f t="shared" si="8"/>
        <v>15355.467524586567</v>
      </c>
      <c r="L8" s="33">
        <f t="shared" si="4"/>
        <v>126449.32833956847</v>
      </c>
      <c r="M8" s="25">
        <f t="shared" si="9"/>
        <v>3302738.1911179577</v>
      </c>
      <c r="N8" s="25">
        <f t="shared" si="10"/>
        <v>973115.62500000012</v>
      </c>
      <c r="O8" s="131">
        <f t="shared" si="11"/>
        <v>583869.37500000012</v>
      </c>
      <c r="P8" s="25">
        <v>0</v>
      </c>
      <c r="Q8" s="64">
        <f t="shared" si="12"/>
        <v>7572934.3449404072</v>
      </c>
      <c r="R8" s="63">
        <f t="shared" si="5"/>
        <v>254406.09616078087</v>
      </c>
      <c r="S8" s="152">
        <v>0</v>
      </c>
      <c r="T8" s="152">
        <f t="shared" si="13"/>
        <v>78472.659865416761</v>
      </c>
      <c r="U8" s="152">
        <v>0</v>
      </c>
      <c r="V8" s="199">
        <v>6392020.5787053499</v>
      </c>
      <c r="W8" s="201">
        <f t="shared" si="6"/>
        <v>7240055.58891421</v>
      </c>
      <c r="X8" s="69">
        <f t="shared" si="7"/>
        <v>-848035.01020886004</v>
      </c>
      <c r="Y8" s="69">
        <f t="shared" si="14"/>
        <v>33429.257534559816</v>
      </c>
    </row>
    <row r="9" spans="1:35" ht="30.75" customHeight="1" thickBot="1" x14ac:dyDescent="0.4">
      <c r="A9" s="48" t="s">
        <v>79</v>
      </c>
      <c r="B9" s="55">
        <v>3.0298700000000001E-2</v>
      </c>
      <c r="C9" s="27">
        <f t="shared" si="15"/>
        <v>2.2724025000000002E-2</v>
      </c>
      <c r="D9" s="27">
        <f t="shared" si="16"/>
        <v>1.9694155000000001E-2</v>
      </c>
      <c r="E9" s="132">
        <v>0</v>
      </c>
      <c r="F9" s="37">
        <f t="shared" si="17"/>
        <v>2.4908561270000004E-2</v>
      </c>
      <c r="G9" s="63">
        <f t="shared" si="0"/>
        <v>285743.24874938006</v>
      </c>
      <c r="H9" s="33">
        <f t="shared" si="1"/>
        <v>61237.202271309739</v>
      </c>
      <c r="I9" s="25">
        <f t="shared" si="2"/>
        <v>138732.83156316527</v>
      </c>
      <c r="J9" s="26">
        <f t="shared" si="3"/>
        <v>1015462.4477771501</v>
      </c>
      <c r="K9" s="39">
        <f t="shared" si="8"/>
        <v>8964.4544530716303</v>
      </c>
      <c r="L9" s="33">
        <f t="shared" si="4"/>
        <v>0</v>
      </c>
      <c r="M9" s="25">
        <f t="shared" si="9"/>
        <v>1928124.0403322896</v>
      </c>
      <c r="N9" s="25">
        <f t="shared" si="10"/>
        <v>568100.625</v>
      </c>
      <c r="O9" s="131">
        <f t="shared" si="11"/>
        <v>340860.375</v>
      </c>
      <c r="P9" s="25">
        <v>0</v>
      </c>
      <c r="Q9" s="64">
        <f t="shared" si="12"/>
        <v>4347225.2251463663</v>
      </c>
      <c r="R9" s="63">
        <f t="shared" si="5"/>
        <v>148521.16081555028</v>
      </c>
      <c r="S9" s="152">
        <v>0</v>
      </c>
      <c r="T9" s="152">
        <f t="shared" si="13"/>
        <v>45811.993939523556</v>
      </c>
      <c r="U9" s="152">
        <v>0</v>
      </c>
      <c r="V9" s="199">
        <v>3685089.1729821619</v>
      </c>
      <c r="W9" s="201">
        <f t="shared" si="6"/>
        <v>4152892.0703912927</v>
      </c>
      <c r="X9" s="69">
        <f t="shared" si="7"/>
        <v>-467802.89740913082</v>
      </c>
      <c r="Y9" s="69">
        <f t="shared" si="14"/>
        <v>19515.853625995769</v>
      </c>
      <c r="AD9" s="149"/>
      <c r="AE9" s="149"/>
    </row>
    <row r="10" spans="1:35" ht="30.75" customHeight="1" thickBot="1" x14ac:dyDescent="0.4">
      <c r="A10" s="48" t="s">
        <v>80</v>
      </c>
      <c r="B10" s="55">
        <v>9.5379000000000002E-3</v>
      </c>
      <c r="C10" s="27">
        <f t="shared" si="15"/>
        <v>7.1534249999999997E-3</v>
      </c>
      <c r="D10" s="27">
        <f t="shared" si="16"/>
        <v>6.1996350000000002E-3</v>
      </c>
      <c r="E10" s="37">
        <f t="shared" ref="E10:E21" si="18">(1-0.2268)*B10</f>
        <v>7.3747042799999999E-3</v>
      </c>
      <c r="F10" s="37">
        <f t="shared" si="17"/>
        <v>7.8411075900000002E-3</v>
      </c>
      <c r="G10" s="63">
        <f t="shared" si="0"/>
        <v>89950.741525105419</v>
      </c>
      <c r="H10" s="33">
        <f t="shared" si="1"/>
        <v>19277.206993815744</v>
      </c>
      <c r="I10" s="25">
        <f t="shared" si="2"/>
        <v>43672.49664725925</v>
      </c>
      <c r="J10" s="26">
        <f t="shared" si="3"/>
        <v>319663.19613229873</v>
      </c>
      <c r="K10" s="39">
        <f t="shared" si="8"/>
        <v>2821.9715739603312</v>
      </c>
      <c r="L10" s="33">
        <f t="shared" si="4"/>
        <v>23238.394373162944</v>
      </c>
      <c r="M10" s="25">
        <f t="shared" si="9"/>
        <v>606965.12669802143</v>
      </c>
      <c r="N10" s="25">
        <f t="shared" si="10"/>
        <v>178835.625</v>
      </c>
      <c r="O10" s="131">
        <f t="shared" si="11"/>
        <v>107301.375</v>
      </c>
      <c r="P10" s="25">
        <v>0</v>
      </c>
      <c r="Q10" s="64">
        <f t="shared" si="12"/>
        <v>1391726.1339436239</v>
      </c>
      <c r="R10" s="63">
        <f t="shared" si="5"/>
        <v>46753.820452449669</v>
      </c>
      <c r="S10" s="152">
        <v>0</v>
      </c>
      <c r="T10" s="152">
        <f t="shared" si="13"/>
        <v>14421.417981490351</v>
      </c>
      <c r="U10" s="152">
        <v>0</v>
      </c>
      <c r="V10" s="199">
        <v>1174702.1285397096</v>
      </c>
      <c r="W10" s="201">
        <f t="shared" si="6"/>
        <v>1330550.895509684</v>
      </c>
      <c r="X10" s="69">
        <f t="shared" si="7"/>
        <v>-155848.76696997439</v>
      </c>
      <c r="Y10" s="69">
        <f t="shared" si="14"/>
        <v>6143.5064969581208</v>
      </c>
      <c r="AI10" s="149"/>
    </row>
    <row r="11" spans="1:35" ht="30.75" customHeight="1" thickBot="1" x14ac:dyDescent="0.4">
      <c r="A11" s="48" t="s">
        <v>81</v>
      </c>
      <c r="B11" s="55">
        <v>2.60343E-2</v>
      </c>
      <c r="C11" s="27">
        <f t="shared" si="15"/>
        <v>1.9525725000000001E-2</v>
      </c>
      <c r="D11" s="27">
        <f t="shared" si="16"/>
        <v>1.6922295E-2</v>
      </c>
      <c r="E11" s="37">
        <f t="shared" si="18"/>
        <v>2.0129720760000001E-2</v>
      </c>
      <c r="F11" s="37">
        <f t="shared" si="17"/>
        <v>2.140279803E-2</v>
      </c>
      <c r="G11" s="63">
        <f t="shared" si="0"/>
        <v>245526.22590790974</v>
      </c>
      <c r="H11" s="33">
        <f t="shared" si="1"/>
        <v>52618.353100692737</v>
      </c>
      <c r="I11" s="25">
        <f t="shared" si="2"/>
        <v>119206.83583008224</v>
      </c>
      <c r="J11" s="26">
        <f t="shared" si="3"/>
        <v>872540.86822750338</v>
      </c>
      <c r="K11" s="39">
        <f t="shared" si="8"/>
        <v>7702.7495096358152</v>
      </c>
      <c r="L11" s="33">
        <f t="shared" si="4"/>
        <v>63430.664048609862</v>
      </c>
      <c r="M11" s="25">
        <f t="shared" si="9"/>
        <v>1656749.6197270155</v>
      </c>
      <c r="N11" s="25">
        <f t="shared" si="10"/>
        <v>488143.125</v>
      </c>
      <c r="O11" s="131">
        <f t="shared" si="11"/>
        <v>292885.875</v>
      </c>
      <c r="P11" s="25">
        <v>0</v>
      </c>
      <c r="Q11" s="64">
        <f t="shared" si="12"/>
        <v>3798804.3163514491</v>
      </c>
      <c r="R11" s="63">
        <f t="shared" si="5"/>
        <v>127617.50362293696</v>
      </c>
      <c r="S11" s="152">
        <v>0</v>
      </c>
      <c r="T11" s="152">
        <f t="shared" si="13"/>
        <v>39364.170536020953</v>
      </c>
      <c r="U11" s="152">
        <v>0</v>
      </c>
      <c r="V11" s="199">
        <v>3206423.5884577623</v>
      </c>
      <c r="W11" s="201">
        <f t="shared" si="6"/>
        <v>3631822.6421924913</v>
      </c>
      <c r="X11" s="69">
        <f t="shared" si="7"/>
        <v>-425399.05373472907</v>
      </c>
      <c r="Y11" s="69">
        <f t="shared" si="14"/>
        <v>16769.088708600091</v>
      </c>
    </row>
    <row r="12" spans="1:35" ht="30.75" customHeight="1" thickBot="1" x14ac:dyDescent="0.4">
      <c r="A12" s="48" t="s">
        <v>82</v>
      </c>
      <c r="B12" s="55">
        <v>7.4370900000000004E-2</v>
      </c>
      <c r="C12" s="27">
        <f t="shared" si="15"/>
        <v>5.5778174999999999E-2</v>
      </c>
      <c r="D12" s="27">
        <f t="shared" si="16"/>
        <v>4.8341084999999999E-2</v>
      </c>
      <c r="E12" s="37">
        <f t="shared" si="18"/>
        <v>5.7503579880000003E-2</v>
      </c>
      <c r="F12" s="37">
        <f t="shared" si="17"/>
        <v>6.1140316890000004E-2</v>
      </c>
      <c r="G12" s="63">
        <f t="shared" si="0"/>
        <v>701382.65266877017</v>
      </c>
      <c r="H12" s="33">
        <f t="shared" si="1"/>
        <v>150312.25255206821</v>
      </c>
      <c r="I12" s="25">
        <f t="shared" si="2"/>
        <v>340532.28497925674</v>
      </c>
      <c r="J12" s="26">
        <f t="shared" si="3"/>
        <v>2492544.437794019</v>
      </c>
      <c r="K12" s="39">
        <f t="shared" si="8"/>
        <v>22004.064388371276</v>
      </c>
      <c r="L12" s="33">
        <f t="shared" si="4"/>
        <v>181199.24764225501</v>
      </c>
      <c r="M12" s="25">
        <f t="shared" si="9"/>
        <v>4732754.8769798269</v>
      </c>
      <c r="N12" s="25">
        <f t="shared" si="10"/>
        <v>1394454.375</v>
      </c>
      <c r="O12" s="131">
        <f t="shared" si="11"/>
        <v>836672.625</v>
      </c>
      <c r="P12" s="25">
        <v>0</v>
      </c>
      <c r="Q12" s="64">
        <f t="shared" si="12"/>
        <v>10851856.817004567</v>
      </c>
      <c r="R12" s="63">
        <f t="shared" si="5"/>
        <v>364558.62459106185</v>
      </c>
      <c r="S12" s="152">
        <v>0</v>
      </c>
      <c r="T12" s="152">
        <f t="shared" si="13"/>
        <v>112449.68332228485</v>
      </c>
      <c r="U12" s="152">
        <v>0</v>
      </c>
      <c r="V12" s="199">
        <v>9159632.0348723289</v>
      </c>
      <c r="W12" s="201">
        <f t="shared" si="6"/>
        <v>10374848.509091221</v>
      </c>
      <c r="X12" s="69">
        <f t="shared" si="7"/>
        <v>-1215216.4742188919</v>
      </c>
      <c r="Y12" s="69">
        <f t="shared" si="14"/>
        <v>47903.428148190142</v>
      </c>
      <c r="AH12" s="156"/>
    </row>
    <row r="13" spans="1:35" ht="30.75" customHeight="1" thickBot="1" x14ac:dyDescent="0.4">
      <c r="A13" s="48" t="s">
        <v>83</v>
      </c>
      <c r="B13" s="55">
        <v>1.9804499999999999E-2</v>
      </c>
      <c r="C13" s="27">
        <f t="shared" si="15"/>
        <v>1.4853375E-2</v>
      </c>
      <c r="D13" s="27">
        <f t="shared" si="16"/>
        <v>1.2872925E-2</v>
      </c>
      <c r="E13" s="37">
        <f t="shared" si="18"/>
        <v>1.53128394E-2</v>
      </c>
      <c r="F13" s="37">
        <f t="shared" si="17"/>
        <v>1.6281279450000002E-2</v>
      </c>
      <c r="G13" s="63">
        <f t="shared" si="0"/>
        <v>186773.76157581338</v>
      </c>
      <c r="H13" s="33">
        <f t="shared" si="1"/>
        <v>40027.201575716237</v>
      </c>
      <c r="I13" s="25">
        <f t="shared" si="2"/>
        <v>90681.592368408747</v>
      </c>
      <c r="J13" s="26">
        <f t="shared" si="3"/>
        <v>663748.80925592745</v>
      </c>
      <c r="K13" s="39">
        <f t="shared" si="8"/>
        <v>5859.5430898308205</v>
      </c>
      <c r="L13" s="33">
        <f t="shared" si="4"/>
        <v>48252.212894170152</v>
      </c>
      <c r="M13" s="25">
        <f t="shared" si="9"/>
        <v>1260302.6716248826</v>
      </c>
      <c r="N13" s="25">
        <f t="shared" si="10"/>
        <v>371334.375</v>
      </c>
      <c r="O13" s="131">
        <f t="shared" si="11"/>
        <v>222800.625</v>
      </c>
      <c r="P13" s="25">
        <v>0</v>
      </c>
      <c r="Q13" s="64">
        <f t="shared" si="12"/>
        <v>2889780.7923847493</v>
      </c>
      <c r="R13" s="63">
        <f t="shared" si="5"/>
        <v>97079.654551897111</v>
      </c>
      <c r="S13" s="152">
        <v>0</v>
      </c>
      <c r="T13" s="152">
        <f t="shared" si="13"/>
        <v>29944.639010099254</v>
      </c>
      <c r="U13" s="152">
        <v>0</v>
      </c>
      <c r="V13" s="199">
        <v>2439152.2411551964</v>
      </c>
      <c r="W13" s="201">
        <f t="shared" si="6"/>
        <v>2762756.4988227529</v>
      </c>
      <c r="X13" s="69">
        <f t="shared" si="7"/>
        <v>-323604.25766755641</v>
      </c>
      <c r="Y13" s="69">
        <f t="shared" si="14"/>
        <v>12756.379750155393</v>
      </c>
      <c r="AH13" s="155"/>
    </row>
    <row r="14" spans="1:35" ht="30.75" customHeight="1" thickBot="1" x14ac:dyDescent="0.4">
      <c r="A14" s="48" t="s">
        <v>84</v>
      </c>
      <c r="B14" s="55">
        <v>9.3953300000000003E-2</v>
      </c>
      <c r="C14" s="27">
        <f t="shared" si="15"/>
        <v>7.0464974999999999E-2</v>
      </c>
      <c r="D14" s="27">
        <f t="shared" si="16"/>
        <v>6.1069644999999999E-2</v>
      </c>
      <c r="E14" s="37">
        <f t="shared" si="18"/>
        <v>7.2644691560000002E-2</v>
      </c>
      <c r="F14" s="37">
        <f t="shared" si="17"/>
        <v>7.7239007930000006E-2</v>
      </c>
      <c r="G14" s="63">
        <f t="shared" si="0"/>
        <v>886061.81693356892</v>
      </c>
      <c r="H14" s="33">
        <f t="shared" si="1"/>
        <v>189890.5641548002</v>
      </c>
      <c r="I14" s="25">
        <f t="shared" si="2"/>
        <v>430196.91748172475</v>
      </c>
      <c r="J14" s="26">
        <f t="shared" si="3"/>
        <v>3148849.5544277779</v>
      </c>
      <c r="K14" s="39">
        <f t="shared" si="8"/>
        <v>27797.894911853466</v>
      </c>
      <c r="L14" s="33">
        <f t="shared" si="4"/>
        <v>228910.33016283353</v>
      </c>
      <c r="M14" s="25">
        <f t="shared" si="9"/>
        <v>5978923.7293531308</v>
      </c>
      <c r="N14" s="25">
        <f t="shared" si="10"/>
        <v>1761624.375</v>
      </c>
      <c r="O14" s="131">
        <f t="shared" si="11"/>
        <v>1056974.625</v>
      </c>
      <c r="P14" s="25">
        <v>0</v>
      </c>
      <c r="Q14" s="64">
        <f t="shared" si="12"/>
        <v>13709229.807425689</v>
      </c>
      <c r="R14" s="63">
        <f t="shared" si="5"/>
        <v>460549.56742208864</v>
      </c>
      <c r="S14" s="152">
        <v>0</v>
      </c>
      <c r="T14" s="152">
        <f t="shared" si="13"/>
        <v>142058.50449683447</v>
      </c>
      <c r="U14" s="152">
        <v>0</v>
      </c>
      <c r="V14" s="199">
        <v>11571429.908492999</v>
      </c>
      <c r="W14" s="201">
        <f t="shared" si="6"/>
        <v>13106621.735506766</v>
      </c>
      <c r="X14" s="69">
        <f t="shared" si="7"/>
        <v>-1535191.8270137664</v>
      </c>
      <c r="Y14" s="69">
        <f t="shared" si="14"/>
        <v>60516.749909377897</v>
      </c>
    </row>
    <row r="15" spans="1:35" ht="30.75" customHeight="1" thickBot="1" x14ac:dyDescent="0.4">
      <c r="A15" s="48" t="s">
        <v>85</v>
      </c>
      <c r="B15" s="55">
        <v>0.21075920000000001</v>
      </c>
      <c r="C15" s="27">
        <f t="shared" si="15"/>
        <v>0.1580694</v>
      </c>
      <c r="D15" s="27">
        <f t="shared" si="16"/>
        <v>0.13699348</v>
      </c>
      <c r="E15" s="37">
        <f t="shared" si="18"/>
        <v>0.16295901343999999</v>
      </c>
      <c r="F15" s="37">
        <f t="shared" si="17"/>
        <v>0.17326513832000001</v>
      </c>
      <c r="G15" s="63">
        <f t="shared" si="0"/>
        <v>1987643.6451669654</v>
      </c>
      <c r="H15" s="33">
        <f t="shared" si="1"/>
        <v>425968.89506610588</v>
      </c>
      <c r="I15" s="25">
        <f t="shared" si="2"/>
        <v>965032.18270049396</v>
      </c>
      <c r="J15" s="26">
        <f t="shared" si="3"/>
        <v>7063605.1422521072</v>
      </c>
      <c r="K15" s="39">
        <f t="shared" si="8"/>
        <v>62357.17205575863</v>
      </c>
      <c r="L15" s="33">
        <f t="shared" si="4"/>
        <v>513499.34549243789</v>
      </c>
      <c r="M15" s="25">
        <f t="shared" si="9"/>
        <v>13412122.640284931</v>
      </c>
      <c r="N15" s="25">
        <f t="shared" si="10"/>
        <v>3951735</v>
      </c>
      <c r="O15" s="131">
        <f t="shared" si="11"/>
        <v>2371041</v>
      </c>
      <c r="P15" s="25">
        <v>0</v>
      </c>
      <c r="Q15" s="64">
        <f t="shared" si="12"/>
        <v>30753005.0230188</v>
      </c>
      <c r="R15" s="63">
        <f t="shared" si="5"/>
        <v>1033120.2670925392</v>
      </c>
      <c r="S15" s="152">
        <v>0</v>
      </c>
      <c r="T15" s="152">
        <f t="shared" si="13"/>
        <v>318670.41137404682</v>
      </c>
      <c r="U15" s="152">
        <v>0</v>
      </c>
      <c r="V15" s="199">
        <v>25957420.44720494</v>
      </c>
      <c r="W15" s="201">
        <f t="shared" si="6"/>
        <v>29401214.344552211</v>
      </c>
      <c r="X15" s="69">
        <f t="shared" si="7"/>
        <v>-3443793.8973472714</v>
      </c>
      <c r="Y15" s="69">
        <f t="shared" si="14"/>
        <v>135753.20715185691</v>
      </c>
    </row>
    <row r="16" spans="1:35" ht="30.75" customHeight="1" thickBot="1" x14ac:dyDescent="0.4">
      <c r="A16" s="48" t="s">
        <v>86</v>
      </c>
      <c r="B16" s="55">
        <v>4.81848E-2</v>
      </c>
      <c r="C16" s="27">
        <f t="shared" si="15"/>
        <v>3.61386E-2</v>
      </c>
      <c r="D16" s="27">
        <f t="shared" si="16"/>
        <v>3.132012E-2</v>
      </c>
      <c r="E16" s="37">
        <f t="shared" si="18"/>
        <v>3.725648736E-2</v>
      </c>
      <c r="F16" s="37">
        <f t="shared" si="17"/>
        <v>3.9612724080000002E-2</v>
      </c>
      <c r="G16" s="63">
        <f t="shared" si="0"/>
        <v>454424.81995396258</v>
      </c>
      <c r="H16" s="33">
        <f t="shared" si="1"/>
        <v>97387.093967813969</v>
      </c>
      <c r="I16" s="25">
        <f t="shared" si="2"/>
        <v>220630.381577586</v>
      </c>
      <c r="J16" s="26">
        <f t="shared" si="3"/>
        <v>1614915.9849647812</v>
      </c>
      <c r="K16" s="39">
        <f t="shared" si="8"/>
        <v>14256.401922536801</v>
      </c>
      <c r="L16" s="33">
        <f t="shared" si="4"/>
        <v>117398.73401817819</v>
      </c>
      <c r="M16" s="25">
        <f t="shared" si="9"/>
        <v>3066345.1322533078</v>
      </c>
      <c r="N16" s="25">
        <f t="shared" si="10"/>
        <v>903465</v>
      </c>
      <c r="O16" s="131">
        <f t="shared" si="11"/>
        <v>542079</v>
      </c>
      <c r="P16" s="25">
        <v>0</v>
      </c>
      <c r="Q16" s="64">
        <f t="shared" si="12"/>
        <v>7030902.5486581661</v>
      </c>
      <c r="R16" s="63">
        <f t="shared" si="5"/>
        <v>236197.01273206857</v>
      </c>
      <c r="S16" s="152">
        <v>0</v>
      </c>
      <c r="T16" s="152">
        <f t="shared" si="13"/>
        <v>72855.989384929198</v>
      </c>
      <c r="U16" s="152">
        <v>0</v>
      </c>
      <c r="V16" s="199">
        <v>5934512.527815409</v>
      </c>
      <c r="W16" s="201">
        <f t="shared" si="6"/>
        <v>6721849.5465411674</v>
      </c>
      <c r="X16" s="69">
        <f t="shared" si="7"/>
        <v>-787337.01872575842</v>
      </c>
      <c r="Y16" s="69">
        <f t="shared" si="14"/>
        <v>31036.562750147063</v>
      </c>
    </row>
    <row r="17" spans="1:31" ht="30.75" customHeight="1" thickBot="1" x14ac:dyDescent="0.4">
      <c r="A17" s="48" t="s">
        <v>87</v>
      </c>
      <c r="B17" s="55">
        <v>1.1982700000000001E-2</v>
      </c>
      <c r="C17" s="27">
        <f t="shared" si="15"/>
        <v>8.9870250000000009E-3</v>
      </c>
      <c r="D17" s="27">
        <f t="shared" si="16"/>
        <v>7.7887550000000005E-3</v>
      </c>
      <c r="E17" s="37">
        <f t="shared" si="18"/>
        <v>9.2650236399999999E-3</v>
      </c>
      <c r="F17" s="37">
        <f t="shared" si="17"/>
        <v>9.850977670000002E-3</v>
      </c>
      <c r="G17" s="63">
        <f t="shared" si="0"/>
        <v>113007.34443356303</v>
      </c>
      <c r="H17" s="33">
        <f t="shared" si="1"/>
        <v>24218.432594679747</v>
      </c>
      <c r="I17" s="25">
        <f t="shared" si="2"/>
        <v>54866.839196795256</v>
      </c>
      <c r="J17" s="26">
        <f t="shared" si="3"/>
        <v>401600.79056128667</v>
      </c>
      <c r="K17" s="39">
        <f t="shared" si="8"/>
        <v>3545.3127815655926</v>
      </c>
      <c r="L17" s="33">
        <f t="shared" si="4"/>
        <v>29194.970408087691</v>
      </c>
      <c r="M17" s="25">
        <f t="shared" si="9"/>
        <v>762545.32168342953</v>
      </c>
      <c r="N17" s="25">
        <f t="shared" si="10"/>
        <v>224675.62500000003</v>
      </c>
      <c r="O17" s="131">
        <f t="shared" si="11"/>
        <v>134805.375</v>
      </c>
      <c r="P17" s="25">
        <v>0</v>
      </c>
      <c r="Q17" s="64">
        <f t="shared" si="12"/>
        <v>1748460.0116594075</v>
      </c>
      <c r="R17" s="63">
        <f t="shared" si="5"/>
        <v>58737.98260996327</v>
      </c>
      <c r="S17" s="152">
        <v>0</v>
      </c>
      <c r="T17" s="152">
        <f t="shared" si="13"/>
        <v>18117.984592709552</v>
      </c>
      <c r="U17" s="152">
        <v>0</v>
      </c>
      <c r="V17" s="199">
        <v>1476352.8919439064</v>
      </c>
      <c r="W17" s="201">
        <f t="shared" si="6"/>
        <v>1671604.0444567348</v>
      </c>
      <c r="X17" s="69">
        <f t="shared" si="7"/>
        <v>-195251.15251282835</v>
      </c>
      <c r="Y17" s="69">
        <f t="shared" si="14"/>
        <v>7718.2393714654263</v>
      </c>
      <c r="AE17" s="153"/>
    </row>
    <row r="18" spans="1:31" ht="30.75" customHeight="1" thickBot="1" x14ac:dyDescent="0.4">
      <c r="A18" s="48" t="s">
        <v>88</v>
      </c>
      <c r="B18" s="55">
        <v>4.9820799999999998E-2</v>
      </c>
      <c r="C18" s="27">
        <f t="shared" si="15"/>
        <v>3.7365599999999999E-2</v>
      </c>
      <c r="D18" s="27">
        <f t="shared" si="16"/>
        <v>3.2383519999999999E-2</v>
      </c>
      <c r="E18" s="37">
        <f t="shared" si="18"/>
        <v>3.8521442560000001E-2</v>
      </c>
      <c r="F18" s="37">
        <f t="shared" si="17"/>
        <v>4.0957679680000005E-2</v>
      </c>
      <c r="G18" s="63">
        <f t="shared" si="0"/>
        <v>469853.73125886958</v>
      </c>
      <c r="H18" s="33">
        <f t="shared" si="1"/>
        <v>100693.64054954397</v>
      </c>
      <c r="I18" s="25">
        <f t="shared" si="2"/>
        <v>228121.36014885598</v>
      </c>
      <c r="J18" s="26">
        <f t="shared" si="3"/>
        <v>1669746.6068912472</v>
      </c>
      <c r="K18" s="39">
        <f t="shared" si="8"/>
        <v>14740.444059170559</v>
      </c>
      <c r="L18" s="33">
        <f t="shared" si="4"/>
        <v>121384.72812531861</v>
      </c>
      <c r="M18" s="25">
        <f t="shared" si="9"/>
        <v>3170455.5703243678</v>
      </c>
      <c r="N18" s="25">
        <f t="shared" si="10"/>
        <v>934140</v>
      </c>
      <c r="O18" s="131">
        <f t="shared" si="11"/>
        <v>560484</v>
      </c>
      <c r="P18" s="25">
        <v>0</v>
      </c>
      <c r="Q18" s="64">
        <f t="shared" si="12"/>
        <v>7269620.0813573739</v>
      </c>
      <c r="R18" s="63">
        <f t="shared" si="5"/>
        <v>244216.51914964555</v>
      </c>
      <c r="S18" s="152">
        <v>0</v>
      </c>
      <c r="T18" s="152">
        <f t="shared" si="13"/>
        <v>75329.640798523207</v>
      </c>
      <c r="U18" s="152">
        <v>0</v>
      </c>
      <c r="V18" s="199">
        <v>6136004.7507811319</v>
      </c>
      <c r="W18" s="201">
        <f t="shared" si="6"/>
        <v>6950073.9214092055</v>
      </c>
      <c r="X18" s="69">
        <f t="shared" si="7"/>
        <v>-814069.17062807363</v>
      </c>
      <c r="Y18" s="69">
        <f t="shared" si="14"/>
        <v>32090.335239796092</v>
      </c>
    </row>
    <row r="19" spans="1:31" ht="30.75" customHeight="1" thickBot="1" x14ac:dyDescent="0.4">
      <c r="A19" s="48" t="s">
        <v>89</v>
      </c>
      <c r="B19" s="55">
        <v>2.6961200000000001E-2</v>
      </c>
      <c r="C19" s="27">
        <f t="shared" si="15"/>
        <v>2.02209E-2</v>
      </c>
      <c r="D19" s="27">
        <f t="shared" si="16"/>
        <v>1.752478E-2</v>
      </c>
      <c r="E19" s="37">
        <f t="shared" si="18"/>
        <v>2.0846399840000002E-2</v>
      </c>
      <c r="F19" s="37">
        <f t="shared" si="17"/>
        <v>2.2164802520000002E-2</v>
      </c>
      <c r="G19" s="63">
        <f t="shared" si="0"/>
        <v>254267.70383487691</v>
      </c>
      <c r="H19" s="33">
        <f t="shared" si="1"/>
        <v>54491.725977590984</v>
      </c>
      <c r="I19" s="25">
        <f t="shared" si="2"/>
        <v>123450.96054750899</v>
      </c>
      <c r="J19" s="26">
        <f t="shared" si="3"/>
        <v>903605.96814415464</v>
      </c>
      <c r="K19" s="39">
        <f t="shared" si="8"/>
        <v>7976.9907421821663</v>
      </c>
      <c r="L19" s="33">
        <f t="shared" si="4"/>
        <v>65688.987971536801</v>
      </c>
      <c r="M19" s="25">
        <f t="shared" si="9"/>
        <v>1715734.9284361021</v>
      </c>
      <c r="N19" s="25">
        <f t="shared" si="10"/>
        <v>505522.5</v>
      </c>
      <c r="O19" s="131">
        <f t="shared" si="11"/>
        <v>303313.5</v>
      </c>
      <c r="P19" s="25">
        <v>0</v>
      </c>
      <c r="Q19" s="64">
        <f t="shared" si="12"/>
        <v>3934053.2656539525</v>
      </c>
      <c r="R19" s="63">
        <f t="shared" si="5"/>
        <v>132161.07360976588</v>
      </c>
      <c r="S19" s="152">
        <v>0</v>
      </c>
      <c r="T19" s="152">
        <f t="shared" si="13"/>
        <v>40765.654335079802</v>
      </c>
      <c r="U19" s="152">
        <v>0</v>
      </c>
      <c r="V19" s="199">
        <v>3321809.1922417223</v>
      </c>
      <c r="W19" s="201">
        <f t="shared" si="6"/>
        <v>3761126.5377091067</v>
      </c>
      <c r="X19" s="69">
        <f t="shared" si="7"/>
        <v>-439317.34546738444</v>
      </c>
      <c r="Y19" s="69">
        <f t="shared" si="14"/>
        <v>17366.119100198921</v>
      </c>
    </row>
    <row r="20" spans="1:31" ht="30.75" customHeight="1" thickBot="1" x14ac:dyDescent="0.4">
      <c r="A20" s="48" t="s">
        <v>90</v>
      </c>
      <c r="B20" s="55">
        <v>3.4057799999999999E-2</v>
      </c>
      <c r="C20" s="27">
        <f t="shared" si="15"/>
        <v>2.5543349999999999E-2</v>
      </c>
      <c r="D20" s="27">
        <f t="shared" si="16"/>
        <v>2.2137569999999999E-2</v>
      </c>
      <c r="E20" s="37">
        <f t="shared" si="18"/>
        <v>2.6333490960000001E-2</v>
      </c>
      <c r="F20" s="37">
        <f t="shared" si="17"/>
        <v>2.7998917380000002E-2</v>
      </c>
      <c r="G20" s="63">
        <f t="shared" si="0"/>
        <v>321194.85051360732</v>
      </c>
      <c r="H20" s="33">
        <f t="shared" si="1"/>
        <v>68834.781278266484</v>
      </c>
      <c r="I20" s="25">
        <f t="shared" si="2"/>
        <v>155945.14057738348</v>
      </c>
      <c r="J20" s="26">
        <f t="shared" si="3"/>
        <v>1141448.872522736</v>
      </c>
      <c r="K20" s="39">
        <f t="shared" si="8"/>
        <v>10076.656651005585</v>
      </c>
      <c r="L20" s="33">
        <f t="shared" si="4"/>
        <v>82979.333803280475</v>
      </c>
      <c r="M20" s="25">
        <f t="shared" si="9"/>
        <v>2167342.5903035128</v>
      </c>
      <c r="N20" s="25">
        <f t="shared" si="10"/>
        <v>638583.75</v>
      </c>
      <c r="O20" s="131">
        <f t="shared" si="11"/>
        <v>383150.25</v>
      </c>
      <c r="P20" s="25">
        <v>0</v>
      </c>
      <c r="Q20" s="64">
        <f t="shared" si="12"/>
        <v>4969556.2256497918</v>
      </c>
      <c r="R20" s="63">
        <f t="shared" si="5"/>
        <v>166947.88855046083</v>
      </c>
      <c r="S20" s="152">
        <v>0</v>
      </c>
      <c r="T20" s="152">
        <f t="shared" si="13"/>
        <v>51495.797746883705</v>
      </c>
      <c r="U20" s="152">
        <v>0</v>
      </c>
      <c r="V20" s="199">
        <v>4194609.9354039915</v>
      </c>
      <c r="W20" s="201">
        <f t="shared" si="6"/>
        <v>4751112.5393524468</v>
      </c>
      <c r="X20" s="69">
        <f t="shared" si="7"/>
        <v>-556502.6039484553</v>
      </c>
      <c r="Y20" s="69">
        <f t="shared" si="14"/>
        <v>21937.147125897765</v>
      </c>
    </row>
    <row r="21" spans="1:31" ht="30.75" customHeight="1" thickBot="1" x14ac:dyDescent="0.4">
      <c r="A21" s="48" t="s">
        <v>91</v>
      </c>
      <c r="B21" s="55">
        <v>2.63211E-2</v>
      </c>
      <c r="C21" s="27">
        <f t="shared" si="15"/>
        <v>1.9740825E-2</v>
      </c>
      <c r="D21" s="27">
        <f t="shared" si="16"/>
        <v>1.7108715E-2</v>
      </c>
      <c r="E21" s="37">
        <f t="shared" si="18"/>
        <v>2.0351474519999999E-2</v>
      </c>
      <c r="F21" s="37">
        <f t="shared" si="17"/>
        <v>2.1638576310000001E-2</v>
      </c>
      <c r="G21" s="63">
        <f t="shared" si="0"/>
        <v>248231.00082370883</v>
      </c>
      <c r="H21" s="33">
        <f t="shared" si="1"/>
        <v>53198.009310741734</v>
      </c>
      <c r="I21" s="25">
        <f t="shared" si="2"/>
        <v>120520.04649893324</v>
      </c>
      <c r="J21" s="26">
        <f t="shared" si="3"/>
        <v>882152.98458967358</v>
      </c>
      <c r="K21" s="39">
        <f t="shared" si="8"/>
        <v>7787.6048181850583</v>
      </c>
      <c r="L21" s="33">
        <f t="shared" si="4"/>
        <v>64129.43123071736</v>
      </c>
      <c r="M21" s="25">
        <f t="shared" si="9"/>
        <v>1675000.7649829935</v>
      </c>
      <c r="N21" s="25">
        <f t="shared" si="10"/>
        <v>493520.625</v>
      </c>
      <c r="O21" s="131">
        <f t="shared" si="11"/>
        <v>296112.375</v>
      </c>
      <c r="P21" s="25">
        <v>0</v>
      </c>
      <c r="Q21" s="64">
        <f t="shared" si="12"/>
        <v>3840652.8422549535</v>
      </c>
      <c r="R21" s="63">
        <f t="shared" si="5"/>
        <v>129023.36819540706</v>
      </c>
      <c r="S21" s="152">
        <v>0</v>
      </c>
      <c r="T21" s="152">
        <f t="shared" si="13"/>
        <v>39797.815539333154</v>
      </c>
      <c r="U21" s="152">
        <v>0</v>
      </c>
      <c r="V21" s="199">
        <v>3241746.3167968141</v>
      </c>
      <c r="W21" s="201">
        <f t="shared" si="6"/>
        <v>3671831.6585202133</v>
      </c>
      <c r="X21" s="69">
        <f t="shared" si="7"/>
        <v>-430085.34172339924</v>
      </c>
      <c r="Y21" s="69">
        <f t="shared" si="14"/>
        <v>16953.820951895534</v>
      </c>
    </row>
    <row r="22" spans="1:31" ht="30.75" customHeight="1" thickBot="1" x14ac:dyDescent="0.4">
      <c r="A22" s="49" t="s">
        <v>92</v>
      </c>
      <c r="B22" s="56"/>
      <c r="C22" s="27"/>
      <c r="D22" s="27"/>
      <c r="E22" s="24"/>
      <c r="F22" s="24"/>
      <c r="G22" s="63">
        <f>G4*0.1</f>
        <v>1397166.6490000002</v>
      </c>
      <c r="H22" s="33"/>
      <c r="I22" s="25"/>
      <c r="J22" s="26"/>
      <c r="K22" s="40"/>
      <c r="L22" s="123"/>
      <c r="M22" s="25"/>
      <c r="N22" s="25"/>
      <c r="O22" s="131"/>
      <c r="P22" s="25"/>
      <c r="Q22" s="64">
        <f t="shared" si="12"/>
        <v>1397166.6490000002</v>
      </c>
      <c r="R22" s="63"/>
      <c r="S22" s="152">
        <v>0</v>
      </c>
      <c r="T22" s="152">
        <f>T4*0.1</f>
        <v>224001.75800000003</v>
      </c>
      <c r="U22" s="152">
        <v>0</v>
      </c>
      <c r="V22" s="199">
        <v>879473.6046572373</v>
      </c>
      <c r="W22" s="201">
        <f t="shared" si="6"/>
        <v>1173164.8910000003</v>
      </c>
      <c r="X22" s="69">
        <f t="shared" si="7"/>
        <v>-293691.28634276299</v>
      </c>
      <c r="Y22" s="69">
        <f t="shared" si="14"/>
        <v>0</v>
      </c>
    </row>
    <row r="23" spans="1:31" s="5" customFormat="1" ht="27.75" customHeight="1" thickBot="1" x14ac:dyDescent="0.4">
      <c r="A23" s="50" t="s">
        <v>44</v>
      </c>
      <c r="B23" s="57">
        <f>SUM(B5:B21)</f>
        <v>1.0000000000000002</v>
      </c>
      <c r="C23" s="58">
        <f>SUM(C5:C21)</f>
        <v>1.0000000000000002</v>
      </c>
      <c r="D23" s="58">
        <f>SUM(D5:D21)</f>
        <v>1.0000000000000002</v>
      </c>
      <c r="E23" s="58">
        <f>SUM(E5:E21)</f>
        <v>0.99999999999999989</v>
      </c>
      <c r="F23" s="58">
        <f>SUM(F5:F21)</f>
        <v>1</v>
      </c>
      <c r="G23" s="65">
        <f>SUM(G5:G22)</f>
        <v>13971666.489999998</v>
      </c>
      <c r="H23" s="36">
        <f t="shared" ref="H23:O23" si="19">SUM(H5:H21)</f>
        <v>2694821.9899999993</v>
      </c>
      <c r="I23" s="28">
        <f t="shared" si="19"/>
        <v>6105117.0099999998</v>
      </c>
      <c r="J23" s="29">
        <f t="shared" si="19"/>
        <v>44686733.436402656</v>
      </c>
      <c r="K23" s="41">
        <f t="shared" si="19"/>
        <v>359894.51000000007</v>
      </c>
      <c r="L23" s="124">
        <f t="shared" si="19"/>
        <v>3151095.0799999996</v>
      </c>
      <c r="M23" s="125">
        <f t="shared" si="19"/>
        <v>84849582.780000001</v>
      </c>
      <c r="N23" s="125">
        <f t="shared" si="19"/>
        <v>25000000</v>
      </c>
      <c r="O23" s="125">
        <f t="shared" si="19"/>
        <v>15000000</v>
      </c>
      <c r="P23" s="125">
        <f>P4</f>
        <v>32854809.640000019</v>
      </c>
      <c r="Q23" s="126">
        <f>SUM(Q5:Q22)</f>
        <v>195818911.29640263</v>
      </c>
      <c r="R23" s="146">
        <f>SUM(R5:R22)</f>
        <v>6535865.050999999</v>
      </c>
      <c r="S23" s="157">
        <f>SUM(S5:S22)</f>
        <v>0</v>
      </c>
      <c r="T23" s="157">
        <f>SUM(T5:T22)</f>
        <v>2240017.58</v>
      </c>
      <c r="U23" s="157">
        <f>U4</f>
        <v>32854809.639999997</v>
      </c>
      <c r="V23" s="199">
        <f>SUM(V5:V22)</f>
        <v>168319297.88975057</v>
      </c>
      <c r="W23" s="199">
        <f>SUM(W5:W22)</f>
        <v>187043028.66540271</v>
      </c>
      <c r="X23" s="199">
        <f>SUM(X5:X22)</f>
        <v>-18723730.775652051</v>
      </c>
      <c r="Y23" s="199">
        <f>SUM(Y5:Y22)</f>
        <v>858820.28496253502</v>
      </c>
    </row>
    <row r="24" spans="1:31" s="13" customFormat="1" ht="23.25" customHeight="1" thickTop="1" thickBot="1" x14ac:dyDescent="0.4">
      <c r="A24" s="42"/>
      <c r="G24" s="360">
        <f>SUM(G23:H23)</f>
        <v>16666488.479999997</v>
      </c>
      <c r="H24" s="361"/>
      <c r="I24" s="66">
        <f>SUM(I23:I23)</f>
        <v>6105117.0099999998</v>
      </c>
      <c r="J24" s="362">
        <f>SUM(J23:L23)</f>
        <v>48197723.026402652</v>
      </c>
      <c r="K24" s="361"/>
      <c r="L24" s="363"/>
      <c r="M24" s="127">
        <f>SUM(M23:M23)</f>
        <v>84849582.780000001</v>
      </c>
      <c r="N24" s="362">
        <f>N23+O23+P23</f>
        <v>72854809.640000015</v>
      </c>
      <c r="O24" s="361"/>
      <c r="P24" s="363"/>
      <c r="Q24" s="200">
        <f>G24+I24+J24+M24+N24+O24</f>
        <v>228673720.93640265</v>
      </c>
      <c r="R24" s="364">
        <f>R23+S23+T23+U23+V23</f>
        <v>209949990.16075057</v>
      </c>
      <c r="S24" s="365"/>
      <c r="T24" s="365"/>
      <c r="U24" s="365"/>
      <c r="V24" s="366"/>
      <c r="W24" s="203"/>
      <c r="X24" s="202">
        <f>R24-Q24</f>
        <v>-18723730.775652081</v>
      </c>
      <c r="Y24" s="202"/>
    </row>
    <row r="25" spans="1:31" s="13" customFormat="1" ht="23.25" customHeight="1" thickTop="1" x14ac:dyDescent="0.35">
      <c r="C25" s="23"/>
      <c r="D25" s="23"/>
      <c r="E25" s="23"/>
      <c r="F25" s="23"/>
      <c r="G25" s="12"/>
      <c r="H25" s="12"/>
      <c r="I25" s="14"/>
      <c r="J25" s="128"/>
      <c r="K25" s="128"/>
      <c r="L25" s="121"/>
      <c r="M25" s="14"/>
      <c r="N25" s="15"/>
      <c r="O25" s="15"/>
      <c r="P25" s="15"/>
      <c r="Q25" s="16"/>
      <c r="R25" s="16"/>
      <c r="S25" s="16"/>
      <c r="T25" s="23" t="s">
        <v>93</v>
      </c>
      <c r="U25" s="23" t="s">
        <v>93</v>
      </c>
      <c r="V25" s="12">
        <f>V5</f>
        <v>44562130.941762432</v>
      </c>
      <c r="W25" s="12">
        <f>W5</f>
        <v>46821358.244968921</v>
      </c>
      <c r="X25" s="12">
        <f>X5</f>
        <v>-2259227.3032064885</v>
      </c>
      <c r="Y25" s="12">
        <f>Y5</f>
        <v>214705.07124063373</v>
      </c>
    </row>
    <row r="26" spans="1:31" x14ac:dyDescent="0.35">
      <c r="C26" s="23"/>
      <c r="D26" s="23"/>
      <c r="E26" s="23"/>
      <c r="F26" s="23"/>
      <c r="G26" s="12"/>
      <c r="H26" s="12"/>
      <c r="Q26" s="16"/>
      <c r="R26" s="205"/>
      <c r="S26" s="16"/>
      <c r="T26" s="23" t="s">
        <v>94</v>
      </c>
      <c r="U26" s="23" t="s">
        <v>94</v>
      </c>
      <c r="V26" s="12">
        <f>SUM(V6:V21)</f>
        <v>122877693.34333092</v>
      </c>
      <c r="W26" s="12">
        <f>SUM(W6:W21)</f>
        <v>139048505.52943376</v>
      </c>
      <c r="X26" s="12">
        <f>SUM(X6:X21)</f>
        <v>-16170812.186102802</v>
      </c>
      <c r="Y26" s="12">
        <f>SUM(Y6:Y21)</f>
        <v>644115.21372190118</v>
      </c>
    </row>
    <row r="27" spans="1:31" x14ac:dyDescent="0.35">
      <c r="A27" s="17"/>
      <c r="C27" s="23"/>
      <c r="D27" s="23"/>
      <c r="E27" s="23"/>
      <c r="F27" s="23"/>
      <c r="G27" s="12"/>
      <c r="H27" s="12"/>
      <c r="T27" s="23" t="s">
        <v>98</v>
      </c>
      <c r="U27" s="23" t="s">
        <v>98</v>
      </c>
      <c r="V27" s="12">
        <f>V22</f>
        <v>879473.6046572373</v>
      </c>
      <c r="W27" s="12">
        <f>W22</f>
        <v>1173164.8910000003</v>
      </c>
      <c r="X27" s="12">
        <f>X22</f>
        <v>-293691.28634276299</v>
      </c>
      <c r="Y27" s="12">
        <f>Y22</f>
        <v>0</v>
      </c>
    </row>
    <row r="28" spans="1:31" x14ac:dyDescent="0.35">
      <c r="H28" s="22"/>
      <c r="V28" s="12"/>
      <c r="W28" s="12"/>
      <c r="X28" s="12"/>
      <c r="Y28" s="12"/>
    </row>
    <row r="29" spans="1:31" x14ac:dyDescent="0.35">
      <c r="V29" s="12"/>
      <c r="W29" s="12"/>
      <c r="X29" s="12"/>
      <c r="Y29" s="12"/>
    </row>
    <row r="31" spans="1:31" x14ac:dyDescent="0.35">
      <c r="O31" s="12"/>
      <c r="P31" s="12"/>
    </row>
    <row r="34" spans="1:25" x14ac:dyDescent="0.35">
      <c r="Q34" s="12"/>
    </row>
    <row r="35" spans="1:25" x14ac:dyDescent="0.35">
      <c r="G35" s="18"/>
    </row>
    <row r="36" spans="1:25" s="2" customFormat="1" x14ac:dyDescent="0.35">
      <c r="A36" s="1"/>
      <c r="B36" s="1"/>
      <c r="C36" s="1"/>
      <c r="D36" s="1"/>
      <c r="E36" s="1"/>
      <c r="F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</sheetData>
  <mergeCells count="7">
    <mergeCell ref="B1:F1"/>
    <mergeCell ref="G24:H24"/>
    <mergeCell ref="G1:Q1"/>
    <mergeCell ref="J24:L24"/>
    <mergeCell ref="R24:V24"/>
    <mergeCell ref="R1:V1"/>
    <mergeCell ref="N24:P24"/>
  </mergeCells>
  <printOptions horizontalCentered="1"/>
  <pageMargins left="0.31496062992125984" right="0.31496062992125984" top="1.5748031496062993" bottom="0.78740157480314965" header="0.31496062992125984" footer="0.31496062992125984"/>
  <pageSetup paperSize="9" scale="31" orientation="landscape" r:id="rId1"/>
  <headerFooter>
    <oddFooter>&amp;LKostenverteilung 2024&amp;C20.03.2024&amp;R&amp;P / &amp;N</oddFooter>
  </headerFooter>
  <ignoredErrors>
    <ignoredError sqref="G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23CB2-F5F0-4ACA-A776-81E9EEF6A614}">
  <sheetPr>
    <pageSetUpPr fitToPage="1"/>
  </sheetPr>
  <dimension ref="A1:AC36"/>
  <sheetViews>
    <sheetView zoomScale="70" zoomScaleNormal="70" workbookViewId="0">
      <pane xSplit="1" ySplit="4" topLeftCell="M5" activePane="bottomRight" state="frozen"/>
      <selection activeCell="B32" sqref="B32"/>
      <selection pane="topRight" activeCell="B32" sqref="B32"/>
      <selection pane="bottomLeft" activeCell="B32" sqref="B32"/>
      <selection pane="bottomRight" activeCell="AC19" sqref="AC19"/>
    </sheetView>
  </sheetViews>
  <sheetFormatPr baseColWidth="10" defaultColWidth="11.54296875" defaultRowHeight="15.5" x14ac:dyDescent="0.35"/>
  <cols>
    <col min="1" max="1" width="30.81640625" style="239" bestFit="1" customWidth="1"/>
    <col min="2" max="2" width="15.26953125" style="239" bestFit="1" customWidth="1"/>
    <col min="3" max="4" width="23.81640625" style="239" customWidth="1"/>
    <col min="5" max="5" width="21.26953125" style="239" bestFit="1" customWidth="1"/>
    <col min="6" max="6" width="15.453125" style="239" bestFit="1" customWidth="1"/>
    <col min="7" max="7" width="21.26953125" style="248" customWidth="1"/>
    <col min="8" max="8" width="15.7265625" style="248" bestFit="1" customWidth="1"/>
    <col min="9" max="9" width="16.453125" style="239" bestFit="1" customWidth="1"/>
    <col min="10" max="10" width="18.1796875" style="239" customWidth="1"/>
    <col min="11" max="11" width="18" style="239" bestFit="1" customWidth="1"/>
    <col min="12" max="12" width="18.1796875" style="239" customWidth="1"/>
    <col min="13" max="13" width="18.453125" style="239" customWidth="1"/>
    <col min="14" max="14" width="17.81640625" style="239" bestFit="1" customWidth="1"/>
    <col min="15" max="15" width="16.1796875" style="239" customWidth="1"/>
    <col min="16" max="16" width="15.54296875" style="239" customWidth="1"/>
    <col min="17" max="17" width="14" style="239" bestFit="1" customWidth="1"/>
    <col min="18" max="18" width="17.7265625" style="239" bestFit="1" customWidth="1"/>
    <col min="19" max="19" width="17" style="239" bestFit="1" customWidth="1"/>
    <col min="20" max="20" width="19.7265625" style="239" customWidth="1"/>
    <col min="21" max="21" width="17.54296875" style="239" bestFit="1" customWidth="1"/>
    <col min="22" max="22" width="29.54296875" style="239" bestFit="1" customWidth="1"/>
    <col min="23" max="23" width="24.453125" style="239" customWidth="1"/>
    <col min="24" max="24" width="15.81640625" style="239" bestFit="1" customWidth="1"/>
    <col min="25" max="25" width="16" style="239" customWidth="1"/>
    <col min="26" max="26" width="19.81640625" style="239" customWidth="1"/>
    <col min="27" max="27" width="21" style="239" customWidth="1"/>
    <col min="28" max="28" width="11.54296875" style="239"/>
    <col min="29" max="29" width="14" style="239" bestFit="1" customWidth="1"/>
    <col min="30" max="16384" width="11.54296875" style="239"/>
  </cols>
  <sheetData>
    <row r="1" spans="1:29" ht="24" customHeight="1" thickBot="1" x14ac:dyDescent="0.4">
      <c r="A1" s="303" t="s">
        <v>195</v>
      </c>
      <c r="B1" s="371" t="s">
        <v>194</v>
      </c>
      <c r="C1" s="372"/>
      <c r="D1" s="372"/>
      <c r="E1" s="372"/>
      <c r="F1" s="373"/>
      <c r="G1" s="371" t="s">
        <v>97</v>
      </c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3"/>
      <c r="S1" s="305"/>
      <c r="T1" s="238"/>
      <c r="U1" s="374" t="s">
        <v>96</v>
      </c>
      <c r="V1" s="374"/>
      <c r="W1" s="374"/>
      <c r="X1" s="337"/>
    </row>
    <row r="2" spans="1:29" s="236" customFormat="1" ht="99.75" hidden="1" customHeight="1" thickTop="1" x14ac:dyDescent="0.35">
      <c r="A2" s="235"/>
      <c r="B2" s="235"/>
      <c r="C2" s="304"/>
      <c r="D2" s="304"/>
      <c r="E2" s="304"/>
      <c r="F2" s="304"/>
      <c r="G2" s="306"/>
      <c r="H2" s="306"/>
      <c r="I2" s="307" t="s">
        <v>73</v>
      </c>
      <c r="J2" s="308" t="s">
        <v>72</v>
      </c>
      <c r="K2" s="309"/>
      <c r="L2" s="309"/>
      <c r="M2" s="307" t="s">
        <v>73</v>
      </c>
      <c r="N2" s="310"/>
      <c r="O2" s="310"/>
      <c r="P2" s="310"/>
      <c r="Q2" s="310"/>
      <c r="R2" s="235"/>
      <c r="S2" s="263"/>
      <c r="T2" s="263"/>
      <c r="U2" s="263"/>
      <c r="V2" s="263"/>
      <c r="W2" s="263"/>
      <c r="X2" s="263"/>
      <c r="Y2" s="263"/>
      <c r="Z2" s="263"/>
      <c r="AA2" s="263"/>
    </row>
    <row r="3" spans="1:29" s="238" customFormat="1" ht="93.5" thickBot="1" x14ac:dyDescent="0.4">
      <c r="A3" s="297">
        <v>2025</v>
      </c>
      <c r="B3" s="274" t="s">
        <v>484</v>
      </c>
      <c r="C3" s="275" t="s">
        <v>74</v>
      </c>
      <c r="D3" s="275" t="s">
        <v>474</v>
      </c>
      <c r="E3" s="275" t="s">
        <v>475</v>
      </c>
      <c r="F3" s="276" t="s">
        <v>127</v>
      </c>
      <c r="G3" s="251" t="s">
        <v>476</v>
      </c>
      <c r="H3" s="252" t="s">
        <v>205</v>
      </c>
      <c r="I3" s="258" t="s">
        <v>477</v>
      </c>
      <c r="J3" s="258" t="s">
        <v>209</v>
      </c>
      <c r="K3" s="292" t="s">
        <v>478</v>
      </c>
      <c r="L3" s="292" t="s">
        <v>479</v>
      </c>
      <c r="M3" s="258" t="s">
        <v>208</v>
      </c>
      <c r="N3" s="258" t="s">
        <v>480</v>
      </c>
      <c r="O3" s="258" t="s">
        <v>481</v>
      </c>
      <c r="P3" s="258" t="s">
        <v>124</v>
      </c>
      <c r="Q3" s="258" t="s">
        <v>489</v>
      </c>
      <c r="R3" s="292" t="s">
        <v>490</v>
      </c>
      <c r="S3" s="319" t="s">
        <v>485</v>
      </c>
      <c r="T3" s="319" t="s">
        <v>486</v>
      </c>
      <c r="U3" s="319" t="s">
        <v>482</v>
      </c>
      <c r="V3" s="319" t="s">
        <v>483</v>
      </c>
      <c r="W3" s="319" t="s">
        <v>494</v>
      </c>
      <c r="X3" s="328" t="s">
        <v>487</v>
      </c>
      <c r="Y3" s="330" t="s">
        <v>492</v>
      </c>
      <c r="Z3" s="330" t="s">
        <v>488</v>
      </c>
      <c r="AA3" s="330" t="s">
        <v>491</v>
      </c>
      <c r="AB3" s="305"/>
    </row>
    <row r="4" spans="1:29" s="237" customFormat="1" ht="33.75" customHeight="1" x14ac:dyDescent="0.35">
      <c r="A4" s="298"/>
      <c r="B4" s="266"/>
      <c r="C4" s="240"/>
      <c r="D4" s="240"/>
      <c r="E4" s="240"/>
      <c r="F4" s="267"/>
      <c r="G4" s="253">
        <f>Budget!V277</f>
        <v>13971666.49</v>
      </c>
      <c r="H4" s="254">
        <f>Budget!V278</f>
        <v>2694821.9899999993</v>
      </c>
      <c r="I4" s="282">
        <f>Budget!V66</f>
        <v>6105117.0099999998</v>
      </c>
      <c r="J4" s="289">
        <f>Budget!V86-Budget!V90-Budget!V91</f>
        <v>44686733.436402664</v>
      </c>
      <c r="K4" s="289">
        <f>Budget!V90</f>
        <v>359894.51</v>
      </c>
      <c r="L4" s="289">
        <f>Budget!V91</f>
        <v>3151095.08</v>
      </c>
      <c r="M4" s="282">
        <f>Budget!V104</f>
        <v>84849582.780000001</v>
      </c>
      <c r="N4" s="282">
        <f>Budget!V250-Budget!V253-Budget!V254</f>
        <v>3094008.4200000018</v>
      </c>
      <c r="O4" s="282">
        <f>Budget!V253+Budget!V254</f>
        <v>25000000</v>
      </c>
      <c r="P4" s="282">
        <f>Budget!V260</f>
        <v>32854809.640000019</v>
      </c>
      <c r="Q4" s="282">
        <f>SUM(G4:P4)</f>
        <v>216767729.35640267</v>
      </c>
      <c r="R4" s="285">
        <f>Q4-P4</f>
        <v>183912919.71640265</v>
      </c>
      <c r="S4" s="285">
        <f>Budget!F21-4510755.41</f>
        <v>2025109.6499999994</v>
      </c>
      <c r="T4" s="285">
        <f>Budget!F21-2025109.72</f>
        <v>4510755.34</v>
      </c>
      <c r="U4" s="285">
        <f>Budget!V7+Budget!V11+Budget!V14+Budget!V18+Budget!V20</f>
        <v>2372655.1800000002</v>
      </c>
      <c r="V4" s="282">
        <f>O4*0.5</f>
        <v>12500000</v>
      </c>
      <c r="W4" s="322">
        <f>R4-S4-T4-U4-V4</f>
        <v>162504399.54640263</v>
      </c>
      <c r="X4" s="322">
        <f>X23</f>
        <v>169904472.97941142</v>
      </c>
      <c r="Y4" s="282">
        <f>X4-W4</f>
        <v>7400073.43300879</v>
      </c>
      <c r="Z4" s="282">
        <f>Budget!S263+Budget!T263</f>
        <v>858820.05499999982</v>
      </c>
      <c r="AA4" s="336">
        <f>Y4+Z4</f>
        <v>8258893.4880087897</v>
      </c>
      <c r="AB4" s="333"/>
    </row>
    <row r="5" spans="1:29" ht="30.75" customHeight="1" x14ac:dyDescent="0.35">
      <c r="A5" s="299" t="s">
        <v>75</v>
      </c>
      <c r="B5" s="268"/>
      <c r="C5" s="233">
        <v>0.25</v>
      </c>
      <c r="D5" s="233">
        <v>0.35</v>
      </c>
      <c r="E5" s="233">
        <f>0.2268+((1-0.2268)*B7)</f>
        <v>0.34711548704</v>
      </c>
      <c r="F5" s="269">
        <v>0.1779</v>
      </c>
      <c r="G5" s="255">
        <f t="shared" ref="G5:G21" si="0">$G$4*0.9*C5</f>
        <v>3143624.96025</v>
      </c>
      <c r="H5" s="256">
        <f t="shared" ref="H5:H21" si="1">$H$4*C5</f>
        <v>673705.49749999982</v>
      </c>
      <c r="I5" s="259">
        <f t="shared" ref="I5:I21" si="2">$I$4*C5</f>
        <v>1526279.2524999999</v>
      </c>
      <c r="J5" s="290">
        <f t="shared" ref="J5:J21" si="3">$J$4*C5</f>
        <v>11171683.359100666</v>
      </c>
      <c r="K5" s="293">
        <f t="shared" ref="K5:K21" si="4">K$4*F5</f>
        <v>64025.233329000002</v>
      </c>
      <c r="L5" s="293">
        <f t="shared" ref="L5:L21" si="5">L$4*E5</f>
        <v>1093793.9034035478</v>
      </c>
      <c r="M5" s="259">
        <f t="shared" ref="M5:M21" si="6">$M$4*C5</f>
        <v>21212395.695</v>
      </c>
      <c r="N5" s="259">
        <f t="shared" ref="N5:N21" si="7">$N$4*C5</f>
        <v>773502.10500000045</v>
      </c>
      <c r="O5" s="259">
        <f>O4*0.5</f>
        <v>12500000</v>
      </c>
      <c r="P5" s="259">
        <f t="shared" ref="P5:P21" si="8">$P$4*C5</f>
        <v>8213702.4100000048</v>
      </c>
      <c r="Q5" s="311"/>
      <c r="R5" s="259">
        <f t="shared" ref="R5:R21" si="9">SUM(G5:O5)</f>
        <v>52159010.00608322</v>
      </c>
      <c r="S5" s="259">
        <f>$S$4*C5</f>
        <v>506277.41249999986</v>
      </c>
      <c r="T5" s="259">
        <v>3619034.3588589132</v>
      </c>
      <c r="U5" s="290">
        <f>U$4*0.9*$C5</f>
        <v>533847.4155</v>
      </c>
      <c r="V5" s="259">
        <v>0</v>
      </c>
      <c r="W5" s="323">
        <f t="shared" ref="W5:W22" si="10">R5-S5-T5-U5-V5</f>
        <v>47499850.819224305</v>
      </c>
      <c r="X5" s="339">
        <v>51831961.35174676</v>
      </c>
      <c r="Y5" s="331">
        <f t="shared" ref="Y5:Y23" si="11">X5-W5</f>
        <v>4332110.5325224549</v>
      </c>
      <c r="Z5" s="331">
        <f>$Z$4*C5</f>
        <v>214705.01374999995</v>
      </c>
      <c r="AA5" s="336">
        <f t="shared" ref="AA5:AA22" si="12">Y5+Z5</f>
        <v>4546815.5462724548</v>
      </c>
      <c r="AB5" s="334"/>
    </row>
    <row r="6" spans="1:29" ht="30.75" customHeight="1" x14ac:dyDescent="0.35">
      <c r="A6" s="299" t="s">
        <v>76</v>
      </c>
      <c r="B6" s="270">
        <v>0.1304061</v>
      </c>
      <c r="C6" s="233">
        <f>B6*75/100</f>
        <v>9.7804574999999991E-2</v>
      </c>
      <c r="D6" s="233">
        <f>B6*65/100</f>
        <v>8.4763964999999997E-2</v>
      </c>
      <c r="E6" s="233">
        <f>B6*(100-22.68)/100</f>
        <v>0.10082999651999998</v>
      </c>
      <c r="F6" s="269">
        <f>B6*(1-F$5)</f>
        <v>0.10720685481</v>
      </c>
      <c r="G6" s="255">
        <f t="shared" si="0"/>
        <v>1229843.6127865724</v>
      </c>
      <c r="H6" s="256">
        <f t="shared" si="1"/>
        <v>263565.91943260416</v>
      </c>
      <c r="I6" s="259">
        <f t="shared" si="2"/>
        <v>597108.37448832067</v>
      </c>
      <c r="J6" s="290">
        <f t="shared" si="3"/>
        <v>4370566.9718856514</v>
      </c>
      <c r="K6" s="293">
        <f t="shared" si="4"/>
        <v>38583.158480486098</v>
      </c>
      <c r="L6" s="293">
        <f t="shared" si="5"/>
        <v>317724.90595058905</v>
      </c>
      <c r="M6" s="259">
        <f t="shared" si="6"/>
        <v>8298677.3827252174</v>
      </c>
      <c r="N6" s="259">
        <f t="shared" si="7"/>
        <v>302608.17856452166</v>
      </c>
      <c r="O6" s="259">
        <f t="shared" ref="O6:O21" si="13">O$4*0.5*B6</f>
        <v>1630076.25</v>
      </c>
      <c r="P6" s="259">
        <f t="shared" si="8"/>
        <v>3213350.6935461047</v>
      </c>
      <c r="Q6" s="311"/>
      <c r="R6" s="259">
        <f t="shared" si="9"/>
        <v>17048754.754313964</v>
      </c>
      <c r="S6" s="259">
        <f t="shared" ref="S6:S22" si="14">$S$4*C6</f>
        <v>198064.98864664868</v>
      </c>
      <c r="T6" s="259">
        <v>86736.301731742918</v>
      </c>
      <c r="U6" s="290">
        <f t="shared" ref="U6:U21" si="15">U$4*0.9*$C6</f>
        <v>208850.87835130363</v>
      </c>
      <c r="V6" s="259">
        <f>O6</f>
        <v>1630076.25</v>
      </c>
      <c r="W6" s="323">
        <f t="shared" si="10"/>
        <v>14925026.33558427</v>
      </c>
      <c r="X6" s="339">
        <v>15251100.389770672</v>
      </c>
      <c r="Y6" s="331">
        <f t="shared" si="11"/>
        <v>326074.05418640189</v>
      </c>
      <c r="Z6" s="331">
        <f t="shared" ref="Z6:Z22" si="16">$Z$4*C6</f>
        <v>83996.530480751593</v>
      </c>
      <c r="AA6" s="336">
        <f t="shared" si="12"/>
        <v>410070.58466715348</v>
      </c>
      <c r="AB6" s="334"/>
    </row>
    <row r="7" spans="1:29" ht="30.75" customHeight="1" x14ac:dyDescent="0.35">
      <c r="A7" s="299" t="s">
        <v>77</v>
      </c>
      <c r="B7" s="270">
        <v>0.1556072</v>
      </c>
      <c r="C7" s="233">
        <f t="shared" ref="C7:C21" si="17">B7*75/100</f>
        <v>0.11670540000000001</v>
      </c>
      <c r="D7" s="233">
        <f t="shared" ref="D7:D21" si="18">B7*65/100</f>
        <v>0.10114468</v>
      </c>
      <c r="E7" s="233">
        <v>0</v>
      </c>
      <c r="F7" s="269">
        <f t="shared" ref="F7:F21" si="19">B7*(1-F$5)</f>
        <v>0.12792467912</v>
      </c>
      <c r="G7" s="255">
        <f t="shared" si="0"/>
        <v>1467512.0337438416</v>
      </c>
      <c r="H7" s="256">
        <f t="shared" si="1"/>
        <v>314500.27827174595</v>
      </c>
      <c r="I7" s="259">
        <f t="shared" si="2"/>
        <v>712500.12269885407</v>
      </c>
      <c r="J7" s="290">
        <f t="shared" si="3"/>
        <v>5215183.1003887476</v>
      </c>
      <c r="K7" s="293">
        <f t="shared" si="4"/>
        <v>46039.38970879963</v>
      </c>
      <c r="L7" s="293">
        <f t="shared" si="5"/>
        <v>0</v>
      </c>
      <c r="M7" s="259">
        <f t="shared" si="6"/>
        <v>9902404.4981730133</v>
      </c>
      <c r="N7" s="259">
        <f t="shared" si="7"/>
        <v>361087.49025946826</v>
      </c>
      <c r="O7" s="259">
        <f t="shared" si="13"/>
        <v>1945090</v>
      </c>
      <c r="P7" s="259">
        <f t="shared" si="8"/>
        <v>3834333.7009600587</v>
      </c>
      <c r="Q7" s="283"/>
      <c r="R7" s="259">
        <f t="shared" si="9"/>
        <v>19964316.913244471</v>
      </c>
      <c r="S7" s="259">
        <f t="shared" si="14"/>
        <v>236341.23174710997</v>
      </c>
      <c r="T7" s="259">
        <v>-703.71268222853541</v>
      </c>
      <c r="U7" s="290">
        <f t="shared" si="15"/>
        <v>249211.50465957483</v>
      </c>
      <c r="V7" s="259">
        <f t="shared" ref="V7:V22" si="20">O7</f>
        <v>1945090</v>
      </c>
      <c r="W7" s="323">
        <f t="shared" si="10"/>
        <v>17534377.889520016</v>
      </c>
      <c r="X7" s="339">
        <v>17826855.487630006</v>
      </c>
      <c r="Y7" s="331">
        <f t="shared" si="11"/>
        <v>292477.59810999036</v>
      </c>
      <c r="Z7" s="331">
        <f t="shared" si="16"/>
        <v>100228.93804679699</v>
      </c>
      <c r="AA7" s="336">
        <f t="shared" si="12"/>
        <v>392706.53615678736</v>
      </c>
      <c r="AB7" s="334"/>
    </row>
    <row r="8" spans="1:29" ht="30.75" customHeight="1" x14ac:dyDescent="0.35">
      <c r="A8" s="299" t="s">
        <v>78</v>
      </c>
      <c r="B8" s="270">
        <v>5.1899500000000001E-2</v>
      </c>
      <c r="C8" s="233">
        <f t="shared" si="17"/>
        <v>3.8924625000000004E-2</v>
      </c>
      <c r="D8" s="233">
        <f t="shared" si="18"/>
        <v>3.3734675000000006E-2</v>
      </c>
      <c r="E8" s="233">
        <f t="shared" ref="E8:E21" si="21">B8*(100-22.68)/100</f>
        <v>4.0128693399999998E-2</v>
      </c>
      <c r="F8" s="269">
        <f t="shared" si="19"/>
        <v>4.2666578950000006E-2</v>
      </c>
      <c r="G8" s="255">
        <f t="shared" si="0"/>
        <v>489457.69087348471</v>
      </c>
      <c r="H8" s="256">
        <f t="shared" si="1"/>
        <v>104894.93540250373</v>
      </c>
      <c r="I8" s="259">
        <f t="shared" si="2"/>
        <v>237639.39019537126</v>
      </c>
      <c r="J8" s="290">
        <f t="shared" si="3"/>
        <v>1739414.3414869353</v>
      </c>
      <c r="K8" s="293">
        <f t="shared" si="4"/>
        <v>15355.467524586567</v>
      </c>
      <c r="L8" s="293">
        <f t="shared" si="5"/>
        <v>126449.32833956847</v>
      </c>
      <c r="M8" s="259">
        <f t="shared" si="6"/>
        <v>3302738.1911179577</v>
      </c>
      <c r="N8" s="259">
        <f t="shared" si="7"/>
        <v>120433.11749534258</v>
      </c>
      <c r="O8" s="259">
        <f t="shared" si="13"/>
        <v>648743.75</v>
      </c>
      <c r="P8" s="259">
        <f t="shared" si="8"/>
        <v>1278861.144683386</v>
      </c>
      <c r="Q8" s="283"/>
      <c r="R8" s="259">
        <f t="shared" si="9"/>
        <v>6785126.2124357494</v>
      </c>
      <c r="S8" s="259">
        <f t="shared" si="14"/>
        <v>78826.633710131238</v>
      </c>
      <c r="T8" s="259">
        <v>34519.632837165147</v>
      </c>
      <c r="U8" s="290">
        <f t="shared" si="15"/>
        <v>83119.241822226759</v>
      </c>
      <c r="V8" s="259">
        <f t="shared" si="20"/>
        <v>648743.75</v>
      </c>
      <c r="W8" s="323">
        <f t="shared" si="10"/>
        <v>5939916.9540662263</v>
      </c>
      <c r="X8" s="339">
        <v>6069689.1071729241</v>
      </c>
      <c r="Y8" s="331">
        <f t="shared" si="11"/>
        <v>129772.15310669784</v>
      </c>
      <c r="Z8" s="331">
        <f t="shared" si="16"/>
        <v>33429.248583354369</v>
      </c>
      <c r="AA8" s="336">
        <f t="shared" si="12"/>
        <v>163201.40169005221</v>
      </c>
      <c r="AB8" s="334"/>
      <c r="AC8" s="241"/>
    </row>
    <row r="9" spans="1:29" ht="30.75" customHeight="1" x14ac:dyDescent="0.35">
      <c r="A9" s="299" t="s">
        <v>79</v>
      </c>
      <c r="B9" s="270">
        <v>3.0298700000000001E-2</v>
      </c>
      <c r="C9" s="233">
        <f t="shared" si="17"/>
        <v>2.2724025000000002E-2</v>
      </c>
      <c r="D9" s="233">
        <f t="shared" si="18"/>
        <v>1.9694155000000001E-2</v>
      </c>
      <c r="E9" s="233">
        <f t="shared" si="21"/>
        <v>2.342695484E-2</v>
      </c>
      <c r="F9" s="269">
        <f t="shared" si="19"/>
        <v>2.4908561270000004E-2</v>
      </c>
      <c r="G9" s="255">
        <f t="shared" si="0"/>
        <v>285743.24874938006</v>
      </c>
      <c r="H9" s="256">
        <f t="shared" si="1"/>
        <v>61237.202271309739</v>
      </c>
      <c r="I9" s="259">
        <f t="shared" si="2"/>
        <v>138732.83156316527</v>
      </c>
      <c r="J9" s="290">
        <f t="shared" si="3"/>
        <v>1015462.4477771501</v>
      </c>
      <c r="K9" s="293">
        <f t="shared" si="4"/>
        <v>8964.4544530716303</v>
      </c>
      <c r="L9" s="293">
        <f t="shared" si="5"/>
        <v>73820.56213570619</v>
      </c>
      <c r="M9" s="259">
        <f t="shared" si="6"/>
        <v>1928124.0403322896</v>
      </c>
      <c r="N9" s="259">
        <f t="shared" si="7"/>
        <v>70308.324686290551</v>
      </c>
      <c r="O9" s="259">
        <f t="shared" si="13"/>
        <v>378733.75</v>
      </c>
      <c r="P9" s="259">
        <f t="shared" si="8"/>
        <v>746593.51562960155</v>
      </c>
      <c r="Q9" s="283"/>
      <c r="R9" s="259">
        <f t="shared" si="9"/>
        <v>3961126.8619683636</v>
      </c>
      <c r="S9" s="259">
        <f t="shared" si="14"/>
        <v>46018.642314341239</v>
      </c>
      <c r="T9" s="259">
        <v>-137.02180519374087</v>
      </c>
      <c r="U9" s="290">
        <f t="shared" si="15"/>
        <v>48524.648064029556</v>
      </c>
      <c r="V9" s="259">
        <f t="shared" si="20"/>
        <v>378733.75</v>
      </c>
      <c r="W9" s="323">
        <f t="shared" si="10"/>
        <v>3487986.8433951866</v>
      </c>
      <c r="X9" s="339">
        <v>3471115.3877394828</v>
      </c>
      <c r="Y9" s="331">
        <f t="shared" si="11"/>
        <v>-16871.455655703787</v>
      </c>
      <c r="Z9" s="331">
        <f t="shared" si="16"/>
        <v>19515.848400321371</v>
      </c>
      <c r="AA9" s="336">
        <f t="shared" si="12"/>
        <v>2644.392744617584</v>
      </c>
      <c r="AB9" s="334"/>
    </row>
    <row r="10" spans="1:29" ht="30.75" customHeight="1" x14ac:dyDescent="0.35">
      <c r="A10" s="299" t="s">
        <v>80</v>
      </c>
      <c r="B10" s="270">
        <v>9.5379000000000002E-3</v>
      </c>
      <c r="C10" s="233">
        <f t="shared" si="17"/>
        <v>7.1534249999999997E-3</v>
      </c>
      <c r="D10" s="233">
        <f t="shared" si="18"/>
        <v>6.1996350000000002E-3</v>
      </c>
      <c r="E10" s="233">
        <f t="shared" si="21"/>
        <v>7.3747042799999999E-3</v>
      </c>
      <c r="F10" s="269">
        <f t="shared" si="19"/>
        <v>7.8411075900000002E-3</v>
      </c>
      <c r="G10" s="255">
        <f t="shared" si="0"/>
        <v>89950.741525105419</v>
      </c>
      <c r="H10" s="256">
        <f t="shared" si="1"/>
        <v>19277.206993815744</v>
      </c>
      <c r="I10" s="259">
        <f t="shared" si="2"/>
        <v>43672.49664725925</v>
      </c>
      <c r="J10" s="290">
        <f t="shared" si="3"/>
        <v>319663.19613229873</v>
      </c>
      <c r="K10" s="293">
        <f t="shared" si="4"/>
        <v>2821.9715739603312</v>
      </c>
      <c r="L10" s="293">
        <f t="shared" si="5"/>
        <v>23238.394373162944</v>
      </c>
      <c r="M10" s="259">
        <f t="shared" si="6"/>
        <v>606965.12669802143</v>
      </c>
      <c r="N10" s="259">
        <f t="shared" si="7"/>
        <v>22132.757181838511</v>
      </c>
      <c r="O10" s="259">
        <f t="shared" si="13"/>
        <v>119223.75</v>
      </c>
      <c r="P10" s="259">
        <f t="shared" si="8"/>
        <v>235024.41664901713</v>
      </c>
      <c r="Q10" s="283"/>
      <c r="R10" s="259">
        <f t="shared" si="9"/>
        <v>1246945.6411254625</v>
      </c>
      <c r="S10" s="259">
        <f t="shared" si="14"/>
        <v>14486.469998051245</v>
      </c>
      <c r="T10" s="259">
        <v>6343.8916759809945</v>
      </c>
      <c r="U10" s="290">
        <f t="shared" si="15"/>
        <v>15275.34979289235</v>
      </c>
      <c r="V10" s="259">
        <f t="shared" si="20"/>
        <v>119223.75</v>
      </c>
      <c r="W10" s="323">
        <f t="shared" si="10"/>
        <v>1091616.179658538</v>
      </c>
      <c r="X10" s="339">
        <v>1115465.2305957596</v>
      </c>
      <c r="Y10" s="331">
        <f t="shared" si="11"/>
        <v>23849.050937221618</v>
      </c>
      <c r="Z10" s="331">
        <f t="shared" si="16"/>
        <v>6143.5048519383736</v>
      </c>
      <c r="AA10" s="336">
        <f t="shared" si="12"/>
        <v>29992.555789159993</v>
      </c>
      <c r="AB10" s="334"/>
    </row>
    <row r="11" spans="1:29" ht="30.75" customHeight="1" x14ac:dyDescent="0.35">
      <c r="A11" s="299" t="s">
        <v>81</v>
      </c>
      <c r="B11" s="270">
        <v>2.60343E-2</v>
      </c>
      <c r="C11" s="233">
        <f t="shared" si="17"/>
        <v>1.9525725000000001E-2</v>
      </c>
      <c r="D11" s="233">
        <f t="shared" si="18"/>
        <v>1.6922295E-2</v>
      </c>
      <c r="E11" s="233">
        <f t="shared" si="21"/>
        <v>2.0129720759999997E-2</v>
      </c>
      <c r="F11" s="269">
        <f t="shared" si="19"/>
        <v>2.140279803E-2</v>
      </c>
      <c r="G11" s="255">
        <f t="shared" si="0"/>
        <v>245526.22590790974</v>
      </c>
      <c r="H11" s="256">
        <f t="shared" si="1"/>
        <v>52618.353100692737</v>
      </c>
      <c r="I11" s="259">
        <f t="shared" si="2"/>
        <v>119206.83583008224</v>
      </c>
      <c r="J11" s="290">
        <f t="shared" si="3"/>
        <v>872540.86822750338</v>
      </c>
      <c r="K11" s="293">
        <f t="shared" si="4"/>
        <v>7702.7495096358152</v>
      </c>
      <c r="L11" s="293">
        <f t="shared" si="5"/>
        <v>63430.664048609855</v>
      </c>
      <c r="M11" s="259">
        <f t="shared" si="6"/>
        <v>1656749.6197270155</v>
      </c>
      <c r="N11" s="259">
        <f t="shared" si="7"/>
        <v>60412.757556604534</v>
      </c>
      <c r="O11" s="259">
        <f t="shared" si="13"/>
        <v>325428.75</v>
      </c>
      <c r="P11" s="259">
        <f t="shared" si="8"/>
        <v>641513.97795798944</v>
      </c>
      <c r="Q11" s="283"/>
      <c r="R11" s="259">
        <f t="shared" si="9"/>
        <v>3403616.8239080538</v>
      </c>
      <c r="S11" s="259">
        <f t="shared" si="14"/>
        <v>39541.734120746238</v>
      </c>
      <c r="T11" s="259">
        <v>17316.052701328415</v>
      </c>
      <c r="U11" s="290">
        <f t="shared" si="15"/>
        <v>41695.031308054953</v>
      </c>
      <c r="V11" s="259">
        <f t="shared" si="20"/>
        <v>325428.75</v>
      </c>
      <c r="W11" s="323">
        <f t="shared" si="10"/>
        <v>2979635.2557779243</v>
      </c>
      <c r="X11" s="339">
        <v>3044732.74545751</v>
      </c>
      <c r="Y11" s="331">
        <f t="shared" si="11"/>
        <v>65097.489679585677</v>
      </c>
      <c r="Z11" s="331">
        <f t="shared" si="16"/>
        <v>16769.084218414871</v>
      </c>
      <c r="AA11" s="336">
        <f t="shared" si="12"/>
        <v>81866.573898000555</v>
      </c>
      <c r="AB11" s="334"/>
    </row>
    <row r="12" spans="1:29" ht="30.75" customHeight="1" x14ac:dyDescent="0.35">
      <c r="A12" s="299" t="s">
        <v>82</v>
      </c>
      <c r="B12" s="270">
        <v>7.4370900000000004E-2</v>
      </c>
      <c r="C12" s="233">
        <f t="shared" si="17"/>
        <v>5.5778174999999999E-2</v>
      </c>
      <c r="D12" s="233">
        <f t="shared" si="18"/>
        <v>4.8341084999999999E-2</v>
      </c>
      <c r="E12" s="233">
        <f t="shared" si="21"/>
        <v>5.7503579880000003E-2</v>
      </c>
      <c r="F12" s="269">
        <f t="shared" si="19"/>
        <v>6.1140316890000004E-2</v>
      </c>
      <c r="G12" s="255">
        <f t="shared" si="0"/>
        <v>701382.65266877017</v>
      </c>
      <c r="H12" s="256">
        <f t="shared" si="1"/>
        <v>150312.25255206821</v>
      </c>
      <c r="I12" s="259">
        <f t="shared" si="2"/>
        <v>340532.28497925674</v>
      </c>
      <c r="J12" s="290">
        <f t="shared" si="3"/>
        <v>2492544.437794019</v>
      </c>
      <c r="K12" s="293">
        <f t="shared" si="4"/>
        <v>22004.064388371276</v>
      </c>
      <c r="L12" s="293">
        <f t="shared" si="5"/>
        <v>181199.24764225501</v>
      </c>
      <c r="M12" s="259">
        <f t="shared" si="6"/>
        <v>4732754.8769798269</v>
      </c>
      <c r="N12" s="259">
        <f t="shared" si="7"/>
        <v>172578.14310223359</v>
      </c>
      <c r="O12" s="259">
        <f t="shared" si="13"/>
        <v>929636.25</v>
      </c>
      <c r="P12" s="259">
        <f t="shared" si="8"/>
        <v>1832581.3216916081</v>
      </c>
      <c r="Q12" s="283"/>
      <c r="R12" s="259">
        <f t="shared" si="9"/>
        <v>9722944.2101068012</v>
      </c>
      <c r="S12" s="259">
        <f t="shared" si="14"/>
        <v>112956.92045188871</v>
      </c>
      <c r="T12" s="259">
        <v>49465.913193181157</v>
      </c>
      <c r="U12" s="290">
        <f t="shared" si="15"/>
        <v>119108.13826022684</v>
      </c>
      <c r="V12" s="259">
        <f t="shared" si="20"/>
        <v>929636.25</v>
      </c>
      <c r="W12" s="323">
        <f t="shared" si="10"/>
        <v>8511776.9882015046</v>
      </c>
      <c r="X12" s="339">
        <v>8697737.774364816</v>
      </c>
      <c r="Y12" s="331">
        <f t="shared" si="11"/>
        <v>185960.78616331145</v>
      </c>
      <c r="Z12" s="331">
        <f t="shared" si="16"/>
        <v>47903.415321299617</v>
      </c>
      <c r="AA12" s="336">
        <f t="shared" si="12"/>
        <v>233864.20148461108</v>
      </c>
      <c r="AB12" s="334"/>
    </row>
    <row r="13" spans="1:29" ht="30.75" customHeight="1" x14ac:dyDescent="0.35">
      <c r="A13" s="299" t="s">
        <v>83</v>
      </c>
      <c r="B13" s="270">
        <v>1.9804499999999999E-2</v>
      </c>
      <c r="C13" s="233">
        <f t="shared" si="17"/>
        <v>1.4853375E-2</v>
      </c>
      <c r="D13" s="233">
        <f t="shared" si="18"/>
        <v>1.2872925E-2</v>
      </c>
      <c r="E13" s="233">
        <f t="shared" si="21"/>
        <v>1.5312839399999998E-2</v>
      </c>
      <c r="F13" s="269">
        <f t="shared" si="19"/>
        <v>1.6281279450000002E-2</v>
      </c>
      <c r="G13" s="255">
        <f t="shared" si="0"/>
        <v>186773.76157581338</v>
      </c>
      <c r="H13" s="256">
        <f t="shared" si="1"/>
        <v>40027.201575716237</v>
      </c>
      <c r="I13" s="259">
        <f t="shared" si="2"/>
        <v>90681.592368408747</v>
      </c>
      <c r="J13" s="290">
        <f t="shared" si="3"/>
        <v>663748.80925592745</v>
      </c>
      <c r="K13" s="293">
        <f t="shared" si="4"/>
        <v>5859.5430898308205</v>
      </c>
      <c r="L13" s="293">
        <f t="shared" si="5"/>
        <v>48252.212894170145</v>
      </c>
      <c r="M13" s="259">
        <f t="shared" si="6"/>
        <v>1260302.6716248826</v>
      </c>
      <c r="N13" s="259">
        <f t="shared" si="7"/>
        <v>45956.467315417525</v>
      </c>
      <c r="O13" s="259">
        <f t="shared" si="13"/>
        <v>247556.25</v>
      </c>
      <c r="P13" s="259">
        <f t="shared" si="8"/>
        <v>488004.80813653528</v>
      </c>
      <c r="Q13" s="283"/>
      <c r="R13" s="259">
        <f t="shared" si="9"/>
        <v>2589158.509700167</v>
      </c>
      <c r="S13" s="259">
        <f t="shared" si="14"/>
        <v>30079.713047568741</v>
      </c>
      <c r="T13" s="259">
        <v>13172.65962916147</v>
      </c>
      <c r="U13" s="290">
        <f t="shared" si="15"/>
        <v>31717.743420809249</v>
      </c>
      <c r="V13" s="259">
        <f t="shared" si="20"/>
        <v>247556.25</v>
      </c>
      <c r="W13" s="323">
        <f t="shared" si="10"/>
        <v>2266632.1436026278</v>
      </c>
      <c r="X13" s="339">
        <v>2316152.5240706783</v>
      </c>
      <c r="Y13" s="331">
        <f t="shared" si="11"/>
        <v>49520.380468050484</v>
      </c>
      <c r="Z13" s="331">
        <f t="shared" si="16"/>
        <v>12756.376334435623</v>
      </c>
      <c r="AA13" s="336">
        <f t="shared" si="12"/>
        <v>62276.75680248611</v>
      </c>
      <c r="AB13" s="334"/>
    </row>
    <row r="14" spans="1:29" ht="30.75" customHeight="1" x14ac:dyDescent="0.35">
      <c r="A14" s="299" t="s">
        <v>84</v>
      </c>
      <c r="B14" s="270">
        <v>9.3953300000000003E-2</v>
      </c>
      <c r="C14" s="233">
        <f t="shared" si="17"/>
        <v>7.0464974999999999E-2</v>
      </c>
      <c r="D14" s="233">
        <f t="shared" si="18"/>
        <v>6.1069644999999999E-2</v>
      </c>
      <c r="E14" s="233">
        <f t="shared" si="21"/>
        <v>7.2644691560000002E-2</v>
      </c>
      <c r="F14" s="269">
        <f t="shared" si="19"/>
        <v>7.7239007930000006E-2</v>
      </c>
      <c r="G14" s="255">
        <f t="shared" si="0"/>
        <v>886061.81693356892</v>
      </c>
      <c r="H14" s="256">
        <f t="shared" si="1"/>
        <v>189890.5641548002</v>
      </c>
      <c r="I14" s="259">
        <f t="shared" si="2"/>
        <v>430196.91748172475</v>
      </c>
      <c r="J14" s="290">
        <f t="shared" si="3"/>
        <v>3148849.5544277779</v>
      </c>
      <c r="K14" s="293">
        <f t="shared" si="4"/>
        <v>27797.894911853466</v>
      </c>
      <c r="L14" s="293">
        <f t="shared" si="5"/>
        <v>228910.33016283353</v>
      </c>
      <c r="M14" s="259">
        <f t="shared" si="6"/>
        <v>5978923.7293531308</v>
      </c>
      <c r="N14" s="259">
        <f t="shared" si="7"/>
        <v>218019.22596508963</v>
      </c>
      <c r="O14" s="259">
        <f t="shared" si="13"/>
        <v>1174416.25</v>
      </c>
      <c r="P14" s="259">
        <f t="shared" si="8"/>
        <v>2315113.3399123605</v>
      </c>
      <c r="Q14" s="283"/>
      <c r="R14" s="259">
        <f t="shared" si="9"/>
        <v>12283066.283390779</v>
      </c>
      <c r="S14" s="259">
        <f t="shared" si="14"/>
        <v>142699.30085950872</v>
      </c>
      <c r="T14" s="259">
        <v>62490.648654418066</v>
      </c>
      <c r="U14" s="290">
        <f t="shared" si="15"/>
        <v>150470.17914808844</v>
      </c>
      <c r="V14" s="259">
        <f t="shared" si="20"/>
        <v>1174416.25</v>
      </c>
      <c r="W14" s="323">
        <f t="shared" si="10"/>
        <v>10752989.904728763</v>
      </c>
      <c r="X14" s="339">
        <v>10987915.521208294</v>
      </c>
      <c r="Y14" s="331">
        <f t="shared" si="11"/>
        <v>234925.61647953093</v>
      </c>
      <c r="Z14" s="331">
        <f t="shared" si="16"/>
        <v>60516.73370507361</v>
      </c>
      <c r="AA14" s="336">
        <f t="shared" si="12"/>
        <v>295442.35018460453</v>
      </c>
      <c r="AB14" s="334"/>
    </row>
    <row r="15" spans="1:29" ht="30.75" customHeight="1" x14ac:dyDescent="0.35">
      <c r="A15" s="299" t="s">
        <v>85</v>
      </c>
      <c r="B15" s="270">
        <v>0.21075920000000001</v>
      </c>
      <c r="C15" s="233">
        <f t="shared" si="17"/>
        <v>0.1580694</v>
      </c>
      <c r="D15" s="233">
        <f t="shared" si="18"/>
        <v>0.13699348</v>
      </c>
      <c r="E15" s="233">
        <f t="shared" si="21"/>
        <v>0.16295901343999999</v>
      </c>
      <c r="F15" s="269">
        <f t="shared" si="19"/>
        <v>0.17326513832000001</v>
      </c>
      <c r="G15" s="255">
        <f t="shared" si="0"/>
        <v>1987643.6451669654</v>
      </c>
      <c r="H15" s="256">
        <f t="shared" si="1"/>
        <v>425968.89506610588</v>
      </c>
      <c r="I15" s="259">
        <f t="shared" si="2"/>
        <v>965032.18270049396</v>
      </c>
      <c r="J15" s="290">
        <f t="shared" si="3"/>
        <v>7063605.1422521072</v>
      </c>
      <c r="K15" s="293">
        <f t="shared" si="4"/>
        <v>62357.17205575863</v>
      </c>
      <c r="L15" s="293">
        <f t="shared" si="5"/>
        <v>513499.34549243789</v>
      </c>
      <c r="M15" s="259">
        <f t="shared" si="6"/>
        <v>13412122.640284931</v>
      </c>
      <c r="N15" s="259">
        <f t="shared" si="7"/>
        <v>489068.05454434827</v>
      </c>
      <c r="O15" s="259">
        <f t="shared" si="13"/>
        <v>2634490</v>
      </c>
      <c r="P15" s="259">
        <f t="shared" si="8"/>
        <v>5193340.0469090194</v>
      </c>
      <c r="Q15" s="283"/>
      <c r="R15" s="259">
        <f t="shared" si="9"/>
        <v>27553787.077563148</v>
      </c>
      <c r="S15" s="259">
        <f t="shared" si="14"/>
        <v>320107.86730970989</v>
      </c>
      <c r="T15" s="259">
        <v>140181.12315252796</v>
      </c>
      <c r="U15" s="290">
        <f t="shared" si="15"/>
        <v>337539.7626385428</v>
      </c>
      <c r="V15" s="259">
        <f t="shared" si="20"/>
        <v>2634490</v>
      </c>
      <c r="W15" s="323">
        <f t="shared" si="10"/>
        <v>24121468.324462369</v>
      </c>
      <c r="X15" s="339">
        <v>24648461.362373039</v>
      </c>
      <c r="Y15" s="331">
        <f t="shared" si="11"/>
        <v>526993.03791067004</v>
      </c>
      <c r="Z15" s="331">
        <f t="shared" si="16"/>
        <v>135753.17080181697</v>
      </c>
      <c r="AA15" s="336">
        <f t="shared" si="12"/>
        <v>662746.20871248702</v>
      </c>
      <c r="AB15" s="334"/>
    </row>
    <row r="16" spans="1:29" ht="30.75" customHeight="1" x14ac:dyDescent="0.35">
      <c r="A16" s="299" t="s">
        <v>86</v>
      </c>
      <c r="B16" s="270">
        <v>4.81848E-2</v>
      </c>
      <c r="C16" s="233">
        <f t="shared" si="17"/>
        <v>3.61386E-2</v>
      </c>
      <c r="D16" s="233">
        <f t="shared" si="18"/>
        <v>3.132012E-2</v>
      </c>
      <c r="E16" s="233">
        <f t="shared" si="21"/>
        <v>3.725648736E-2</v>
      </c>
      <c r="F16" s="269">
        <f t="shared" si="19"/>
        <v>3.9612724080000002E-2</v>
      </c>
      <c r="G16" s="255">
        <f t="shared" si="0"/>
        <v>454424.81995396258</v>
      </c>
      <c r="H16" s="256">
        <f t="shared" si="1"/>
        <v>97387.093967813969</v>
      </c>
      <c r="I16" s="259">
        <f t="shared" si="2"/>
        <v>220630.381577586</v>
      </c>
      <c r="J16" s="290">
        <f t="shared" si="3"/>
        <v>1614915.9849647812</v>
      </c>
      <c r="K16" s="293">
        <f t="shared" si="4"/>
        <v>14256.401922536801</v>
      </c>
      <c r="L16" s="293">
        <f t="shared" si="5"/>
        <v>117398.73401817819</v>
      </c>
      <c r="M16" s="259">
        <f t="shared" si="6"/>
        <v>3066345.1322533078</v>
      </c>
      <c r="N16" s="259">
        <f t="shared" si="7"/>
        <v>111813.13268701207</v>
      </c>
      <c r="O16" s="259">
        <f t="shared" si="13"/>
        <v>602310</v>
      </c>
      <c r="P16" s="259">
        <f t="shared" si="8"/>
        <v>1187326.8236561047</v>
      </c>
      <c r="Q16" s="283"/>
      <c r="R16" s="259">
        <f t="shared" si="9"/>
        <v>6299481.6813451778</v>
      </c>
      <c r="S16" s="259">
        <f t="shared" si="14"/>
        <v>73184.627597489976</v>
      </c>
      <c r="T16" s="259">
        <v>32048.894581493922</v>
      </c>
      <c r="U16" s="290">
        <f t="shared" si="15"/>
        <v>77169.992839153201</v>
      </c>
      <c r="V16" s="259">
        <f t="shared" si="20"/>
        <v>602310</v>
      </c>
      <c r="W16" s="323">
        <f t="shared" si="10"/>
        <v>5514768.1663270406</v>
      </c>
      <c r="X16" s="339">
        <v>5635251.8943594042</v>
      </c>
      <c r="Y16" s="331">
        <f t="shared" si="11"/>
        <v>120483.72803236358</v>
      </c>
      <c r="Z16" s="331">
        <f t="shared" si="16"/>
        <v>31036.554439622993</v>
      </c>
      <c r="AA16" s="336">
        <f t="shared" si="12"/>
        <v>151520.28247198657</v>
      </c>
      <c r="AB16" s="334"/>
    </row>
    <row r="17" spans="1:28" ht="30.75" customHeight="1" x14ac:dyDescent="0.35">
      <c r="A17" s="299" t="s">
        <v>87</v>
      </c>
      <c r="B17" s="270">
        <v>1.1982700000000001E-2</v>
      </c>
      <c r="C17" s="233">
        <f t="shared" si="17"/>
        <v>8.9870250000000009E-3</v>
      </c>
      <c r="D17" s="233">
        <f t="shared" si="18"/>
        <v>7.7887550000000005E-3</v>
      </c>
      <c r="E17" s="233">
        <f t="shared" si="21"/>
        <v>9.2650236399999999E-3</v>
      </c>
      <c r="F17" s="269">
        <f t="shared" si="19"/>
        <v>9.850977670000002E-3</v>
      </c>
      <c r="G17" s="255">
        <f t="shared" si="0"/>
        <v>113007.34443356303</v>
      </c>
      <c r="H17" s="256">
        <f t="shared" si="1"/>
        <v>24218.432594679747</v>
      </c>
      <c r="I17" s="259">
        <f t="shared" si="2"/>
        <v>54866.839196795256</v>
      </c>
      <c r="J17" s="290">
        <f t="shared" si="3"/>
        <v>401600.79056128667</v>
      </c>
      <c r="K17" s="293">
        <f t="shared" si="4"/>
        <v>3545.3127815655926</v>
      </c>
      <c r="L17" s="293">
        <f t="shared" si="5"/>
        <v>29194.970408087691</v>
      </c>
      <c r="M17" s="259">
        <f t="shared" si="6"/>
        <v>762545.32168342953</v>
      </c>
      <c r="N17" s="259">
        <f t="shared" si="7"/>
        <v>27805.931020750519</v>
      </c>
      <c r="O17" s="259">
        <f t="shared" si="13"/>
        <v>149783.75</v>
      </c>
      <c r="P17" s="259">
        <f t="shared" si="8"/>
        <v>295266.99560492119</v>
      </c>
      <c r="Q17" s="283"/>
      <c r="R17" s="259">
        <f t="shared" si="9"/>
        <v>1566568.692680158</v>
      </c>
      <c r="S17" s="259">
        <f t="shared" si="14"/>
        <v>18199.711052291248</v>
      </c>
      <c r="T17" s="259">
        <v>7970.0882349135354</v>
      </c>
      <c r="U17" s="290">
        <f t="shared" si="15"/>
        <v>19190.800277135553</v>
      </c>
      <c r="V17" s="259">
        <f t="shared" si="20"/>
        <v>149783.75</v>
      </c>
      <c r="W17" s="323">
        <f t="shared" si="10"/>
        <v>1371424.3431158175</v>
      </c>
      <c r="X17" s="339">
        <v>1401386.5964897734</v>
      </c>
      <c r="Y17" s="331">
        <f t="shared" si="11"/>
        <v>29962.253373955842</v>
      </c>
      <c r="Z17" s="331">
        <f t="shared" si="16"/>
        <v>7718.2373047863739</v>
      </c>
      <c r="AA17" s="336">
        <f t="shared" si="12"/>
        <v>37680.490678742215</v>
      </c>
      <c r="AB17" s="334"/>
    </row>
    <row r="18" spans="1:28" ht="30.75" customHeight="1" x14ac:dyDescent="0.35">
      <c r="A18" s="299" t="s">
        <v>88</v>
      </c>
      <c r="B18" s="270">
        <v>4.9820799999999998E-2</v>
      </c>
      <c r="C18" s="233">
        <f t="shared" si="17"/>
        <v>3.7365599999999999E-2</v>
      </c>
      <c r="D18" s="233">
        <f t="shared" si="18"/>
        <v>3.2383519999999999E-2</v>
      </c>
      <c r="E18" s="233">
        <f t="shared" si="21"/>
        <v>3.8521442559999994E-2</v>
      </c>
      <c r="F18" s="269">
        <f t="shared" si="19"/>
        <v>4.0957679680000005E-2</v>
      </c>
      <c r="G18" s="255">
        <f t="shared" si="0"/>
        <v>469853.73125886958</v>
      </c>
      <c r="H18" s="256">
        <f t="shared" si="1"/>
        <v>100693.64054954397</v>
      </c>
      <c r="I18" s="259">
        <f t="shared" si="2"/>
        <v>228121.36014885598</v>
      </c>
      <c r="J18" s="290">
        <f t="shared" si="3"/>
        <v>1669746.6068912472</v>
      </c>
      <c r="K18" s="293">
        <f t="shared" si="4"/>
        <v>14740.444059170559</v>
      </c>
      <c r="L18" s="293">
        <f t="shared" si="5"/>
        <v>121384.72812531859</v>
      </c>
      <c r="M18" s="259">
        <f t="shared" si="6"/>
        <v>3170455.5703243678</v>
      </c>
      <c r="N18" s="259">
        <f t="shared" si="7"/>
        <v>115609.48101835206</v>
      </c>
      <c r="O18" s="259">
        <f t="shared" si="13"/>
        <v>622760</v>
      </c>
      <c r="P18" s="259">
        <f t="shared" si="8"/>
        <v>1227639.6750843846</v>
      </c>
      <c r="Q18" s="283"/>
      <c r="R18" s="259">
        <f t="shared" si="9"/>
        <v>6513365.5623757262</v>
      </c>
      <c r="S18" s="259">
        <f t="shared" si="14"/>
        <v>75669.437138039983</v>
      </c>
      <c r="T18" s="259">
        <v>33137.038384837098</v>
      </c>
      <c r="U18" s="290">
        <f t="shared" si="15"/>
        <v>79790.115954427194</v>
      </c>
      <c r="V18" s="259">
        <f t="shared" si="20"/>
        <v>622760</v>
      </c>
      <c r="W18" s="323">
        <f t="shared" si="10"/>
        <v>5702008.9708984224</v>
      </c>
      <c r="X18" s="339">
        <v>5826583.4366543191</v>
      </c>
      <c r="Y18" s="331">
        <f t="shared" si="11"/>
        <v>124574.46575589664</v>
      </c>
      <c r="Z18" s="331">
        <f t="shared" si="16"/>
        <v>32090.326647107991</v>
      </c>
      <c r="AA18" s="336">
        <f t="shared" si="12"/>
        <v>156664.79240300463</v>
      </c>
      <c r="AB18" s="334"/>
    </row>
    <row r="19" spans="1:28" ht="30.75" customHeight="1" x14ac:dyDescent="0.35">
      <c r="A19" s="299" t="s">
        <v>89</v>
      </c>
      <c r="B19" s="270">
        <v>2.6961200000000001E-2</v>
      </c>
      <c r="C19" s="233">
        <f t="shared" si="17"/>
        <v>2.02209E-2</v>
      </c>
      <c r="D19" s="233">
        <f t="shared" si="18"/>
        <v>1.752478E-2</v>
      </c>
      <c r="E19" s="233">
        <f t="shared" si="21"/>
        <v>2.0846399839999998E-2</v>
      </c>
      <c r="F19" s="269">
        <f t="shared" si="19"/>
        <v>2.2164802520000002E-2</v>
      </c>
      <c r="G19" s="255">
        <f t="shared" si="0"/>
        <v>254267.70383487691</v>
      </c>
      <c r="H19" s="256">
        <f t="shared" si="1"/>
        <v>54491.725977590984</v>
      </c>
      <c r="I19" s="259">
        <f t="shared" si="2"/>
        <v>123450.96054750899</v>
      </c>
      <c r="J19" s="290">
        <f t="shared" si="3"/>
        <v>903605.96814415464</v>
      </c>
      <c r="K19" s="293">
        <f t="shared" si="4"/>
        <v>7976.9907421821663</v>
      </c>
      <c r="L19" s="293">
        <f t="shared" si="5"/>
        <v>65688.987971536786</v>
      </c>
      <c r="M19" s="259">
        <f t="shared" si="6"/>
        <v>1715734.9284361021</v>
      </c>
      <c r="N19" s="259">
        <f t="shared" si="7"/>
        <v>62563.634859978039</v>
      </c>
      <c r="O19" s="259">
        <f t="shared" si="13"/>
        <v>337015</v>
      </c>
      <c r="P19" s="259">
        <f t="shared" si="8"/>
        <v>664353.82024947635</v>
      </c>
      <c r="Q19" s="283"/>
      <c r="R19" s="259">
        <f t="shared" si="9"/>
        <v>3524795.9005139307</v>
      </c>
      <c r="S19" s="259">
        <f t="shared" si="14"/>
        <v>40949.539721684989</v>
      </c>
      <c r="T19" s="259">
        <v>17932.556669127196</v>
      </c>
      <c r="U19" s="290">
        <f t="shared" si="15"/>
        <v>43179.5008163358</v>
      </c>
      <c r="V19" s="259">
        <f t="shared" si="20"/>
        <v>337015</v>
      </c>
      <c r="W19" s="323">
        <f t="shared" si="10"/>
        <v>3085719.3033067826</v>
      </c>
      <c r="X19" s="339">
        <v>3153134.47095455</v>
      </c>
      <c r="Y19" s="331">
        <f t="shared" si="11"/>
        <v>67415.167647767346</v>
      </c>
      <c r="Z19" s="331">
        <f t="shared" si="16"/>
        <v>17366.114450149496</v>
      </c>
      <c r="AA19" s="336">
        <f t="shared" si="12"/>
        <v>84781.282097916846</v>
      </c>
      <c r="AB19" s="334"/>
    </row>
    <row r="20" spans="1:28" ht="30.75" customHeight="1" x14ac:dyDescent="0.35">
      <c r="A20" s="299" t="s">
        <v>90</v>
      </c>
      <c r="B20" s="270">
        <v>3.4057799999999999E-2</v>
      </c>
      <c r="C20" s="233">
        <f t="shared" si="17"/>
        <v>2.5543349999999999E-2</v>
      </c>
      <c r="D20" s="233">
        <f t="shared" si="18"/>
        <v>2.2137569999999999E-2</v>
      </c>
      <c r="E20" s="233">
        <f t="shared" si="21"/>
        <v>2.6333490959999997E-2</v>
      </c>
      <c r="F20" s="269">
        <f t="shared" si="19"/>
        <v>2.7998917380000002E-2</v>
      </c>
      <c r="G20" s="255">
        <f t="shared" si="0"/>
        <v>321194.85051360732</v>
      </c>
      <c r="H20" s="256">
        <f t="shared" si="1"/>
        <v>68834.781278266484</v>
      </c>
      <c r="I20" s="259">
        <f t="shared" si="2"/>
        <v>155945.14057738348</v>
      </c>
      <c r="J20" s="290">
        <f t="shared" si="3"/>
        <v>1141448.872522736</v>
      </c>
      <c r="K20" s="293">
        <f t="shared" si="4"/>
        <v>10076.656651005585</v>
      </c>
      <c r="L20" s="293">
        <f t="shared" si="5"/>
        <v>82979.333803280475</v>
      </c>
      <c r="M20" s="259">
        <f t="shared" si="6"/>
        <v>2167342.5903035128</v>
      </c>
      <c r="N20" s="259">
        <f t="shared" si="7"/>
        <v>79031.339975007038</v>
      </c>
      <c r="O20" s="259">
        <f t="shared" si="13"/>
        <v>425722.5</v>
      </c>
      <c r="P20" s="259">
        <f t="shared" si="8"/>
        <v>839221.90181789442</v>
      </c>
      <c r="Q20" s="283"/>
      <c r="R20" s="259">
        <f t="shared" si="9"/>
        <v>4452576.0656247986</v>
      </c>
      <c r="S20" s="259">
        <f t="shared" si="14"/>
        <v>51728.084578327485</v>
      </c>
      <c r="T20" s="259">
        <v>22652.679722185247</v>
      </c>
      <c r="U20" s="290">
        <f t="shared" si="15"/>
        <v>54545.005522847699</v>
      </c>
      <c r="V20" s="259">
        <f t="shared" si="20"/>
        <v>425722.5</v>
      </c>
      <c r="W20" s="323">
        <f t="shared" si="10"/>
        <v>3897927.7958014375</v>
      </c>
      <c r="X20" s="339">
        <v>3983087.6535279527</v>
      </c>
      <c r="Y20" s="331">
        <f t="shared" si="11"/>
        <v>85159.857726515271</v>
      </c>
      <c r="Z20" s="331">
        <f t="shared" si="16"/>
        <v>21937.141251884244</v>
      </c>
      <c r="AA20" s="336">
        <f t="shared" si="12"/>
        <v>107096.99897839951</v>
      </c>
      <c r="AB20" s="334"/>
    </row>
    <row r="21" spans="1:28" ht="30.75" customHeight="1" x14ac:dyDescent="0.35">
      <c r="A21" s="299" t="s">
        <v>91</v>
      </c>
      <c r="B21" s="270">
        <v>2.63211E-2</v>
      </c>
      <c r="C21" s="233">
        <f t="shared" si="17"/>
        <v>1.9740825E-2</v>
      </c>
      <c r="D21" s="233">
        <f t="shared" si="18"/>
        <v>1.7108715E-2</v>
      </c>
      <c r="E21" s="233">
        <f t="shared" si="21"/>
        <v>2.0351474519999999E-2</v>
      </c>
      <c r="F21" s="269">
        <f t="shared" si="19"/>
        <v>2.1638576310000001E-2</v>
      </c>
      <c r="G21" s="255">
        <f t="shared" si="0"/>
        <v>248231.00082370883</v>
      </c>
      <c r="H21" s="256">
        <f t="shared" si="1"/>
        <v>53198.009310741734</v>
      </c>
      <c r="I21" s="259">
        <f t="shared" si="2"/>
        <v>120520.04649893324</v>
      </c>
      <c r="J21" s="290">
        <f t="shared" si="3"/>
        <v>882152.98458967358</v>
      </c>
      <c r="K21" s="293">
        <f t="shared" si="4"/>
        <v>7787.6048181850583</v>
      </c>
      <c r="L21" s="293">
        <f t="shared" si="5"/>
        <v>64129.43123071736</v>
      </c>
      <c r="M21" s="259">
        <f t="shared" si="6"/>
        <v>1675000.7649829935</v>
      </c>
      <c r="N21" s="259">
        <f t="shared" si="7"/>
        <v>61078.278767746539</v>
      </c>
      <c r="O21" s="259">
        <f t="shared" si="13"/>
        <v>329013.75</v>
      </c>
      <c r="P21" s="259">
        <f t="shared" si="8"/>
        <v>648581.04751155339</v>
      </c>
      <c r="Q21" s="283"/>
      <c r="R21" s="259">
        <f t="shared" si="9"/>
        <v>3441111.8710226999</v>
      </c>
      <c r="S21" s="259">
        <f t="shared" si="14"/>
        <v>39977.335206461241</v>
      </c>
      <c r="T21" s="259">
        <v>17506.810429200996</v>
      </c>
      <c r="U21" s="290">
        <f t="shared" si="15"/>
        <v>42154.353624351148</v>
      </c>
      <c r="V21" s="259">
        <f t="shared" si="20"/>
        <v>329013.75</v>
      </c>
      <c r="W21" s="323">
        <f t="shared" si="10"/>
        <v>3012459.6217626864</v>
      </c>
      <c r="X21" s="339">
        <v>3078274.240769357</v>
      </c>
      <c r="Y21" s="331">
        <f t="shared" si="11"/>
        <v>65814.619006670546</v>
      </c>
      <c r="Z21" s="331">
        <f t="shared" si="16"/>
        <v>16953.816412245371</v>
      </c>
      <c r="AA21" s="336">
        <f t="shared" si="12"/>
        <v>82768.43541891592</v>
      </c>
      <c r="AB21" s="334"/>
    </row>
    <row r="22" spans="1:28" ht="30.75" customHeight="1" thickBot="1" x14ac:dyDescent="0.4">
      <c r="A22" s="300" t="s">
        <v>92</v>
      </c>
      <c r="B22" s="268"/>
      <c r="C22" s="233"/>
      <c r="D22" s="233"/>
      <c r="E22" s="233"/>
      <c r="F22" s="269"/>
      <c r="G22" s="255">
        <f>G4*0.1</f>
        <v>1397166.6490000002</v>
      </c>
      <c r="H22" s="284"/>
      <c r="I22" s="283"/>
      <c r="J22" s="283"/>
      <c r="K22" s="294"/>
      <c r="L22" s="294"/>
      <c r="M22" s="283"/>
      <c r="N22" s="283"/>
      <c r="O22" s="283"/>
      <c r="P22" s="283"/>
      <c r="Q22" s="283"/>
      <c r="R22" s="259">
        <f>SUM(G22:O22)</f>
        <v>1397166.6490000002</v>
      </c>
      <c r="S22" s="259">
        <f t="shared" si="14"/>
        <v>0</v>
      </c>
      <c r="T22" s="259">
        <v>351087.49565723771</v>
      </c>
      <c r="U22" s="259">
        <f>U4*0.1</f>
        <v>237265.51800000004</v>
      </c>
      <c r="V22" s="259">
        <f t="shared" si="20"/>
        <v>0</v>
      </c>
      <c r="W22" s="323">
        <f t="shared" si="10"/>
        <v>808813.63534276246</v>
      </c>
      <c r="X22" s="339">
        <v>1565567.80452615</v>
      </c>
      <c r="Y22" s="331">
        <f t="shared" si="11"/>
        <v>756754.16918338754</v>
      </c>
      <c r="Z22" s="331">
        <f t="shared" si="16"/>
        <v>0</v>
      </c>
      <c r="AA22" s="336">
        <f t="shared" si="12"/>
        <v>756754.16918338754</v>
      </c>
      <c r="AB22" s="334"/>
    </row>
    <row r="23" spans="1:28" s="236" customFormat="1" ht="27.75" customHeight="1" thickBot="1" x14ac:dyDescent="0.4">
      <c r="A23" s="302" t="s">
        <v>44</v>
      </c>
      <c r="B23" s="271">
        <f>SUM(B5:B21)</f>
        <v>1.0000000000000002</v>
      </c>
      <c r="C23" s="272">
        <f>SUM(C5:C21)</f>
        <v>1.0000000000000002</v>
      </c>
      <c r="D23" s="272">
        <f>SUM(D5:D21)</f>
        <v>1.0000000000000002</v>
      </c>
      <c r="E23" s="272">
        <f>SUM(E5:E21)</f>
        <v>0.99999999999999989</v>
      </c>
      <c r="F23" s="273">
        <f>SUM(F5:F21)</f>
        <v>1</v>
      </c>
      <c r="G23" s="286">
        <f>SUM(G5:G22)</f>
        <v>13971666.489999998</v>
      </c>
      <c r="H23" s="287">
        <f t="shared" ref="H23:P23" si="22">SUM(H5:H21)</f>
        <v>2694821.9899999993</v>
      </c>
      <c r="I23" s="288">
        <f t="shared" si="22"/>
        <v>6105117.0099999998</v>
      </c>
      <c r="J23" s="291">
        <f t="shared" si="22"/>
        <v>44686733.436402656</v>
      </c>
      <c r="K23" s="295">
        <f t="shared" si="22"/>
        <v>359894.51000000007</v>
      </c>
      <c r="L23" s="295">
        <f t="shared" si="22"/>
        <v>3151095.0799999996</v>
      </c>
      <c r="M23" s="296">
        <f t="shared" si="22"/>
        <v>84849582.780000001</v>
      </c>
      <c r="N23" s="296">
        <f t="shared" si="22"/>
        <v>3094008.4200000018</v>
      </c>
      <c r="O23" s="296">
        <f t="shared" si="22"/>
        <v>25000000</v>
      </c>
      <c r="P23" s="277">
        <f t="shared" si="22"/>
        <v>32854809.640000023</v>
      </c>
      <c r="Q23" s="277">
        <f>Q4</f>
        <v>216767729.35640267</v>
      </c>
      <c r="R23" s="281">
        <f>SUM(R5:R22)</f>
        <v>183912919.71640262</v>
      </c>
      <c r="S23" s="320">
        <f>SUM(S5:S22)</f>
        <v>2025109.6499999994</v>
      </c>
      <c r="T23" s="320">
        <f>SUM(T5:T22)</f>
        <v>4510755.4116259925</v>
      </c>
      <c r="U23" s="296">
        <f>SUM(U5:U22)</f>
        <v>2372655.1800000006</v>
      </c>
      <c r="V23" s="321">
        <f t="shared" ref="V23" si="23">SUM(V5:V22)</f>
        <v>12500000</v>
      </c>
      <c r="W23" s="288">
        <f>SUM(W5:W22)</f>
        <v>162504399.47477669</v>
      </c>
      <c r="X23" s="329">
        <f>SUM(X5:X22)</f>
        <v>169904472.97941142</v>
      </c>
      <c r="Y23" s="332">
        <f t="shared" si="11"/>
        <v>7400073.504634738</v>
      </c>
      <c r="Z23" s="288">
        <f>SUM(Z5:Z22)</f>
        <v>858820.05499999982</v>
      </c>
      <c r="AA23" s="288">
        <f>SUM(AA5:AA22)</f>
        <v>8258893.5596347684</v>
      </c>
      <c r="AB23" s="335"/>
    </row>
    <row r="24" spans="1:28" s="242" customFormat="1" ht="23.25" customHeight="1" thickBot="1" x14ac:dyDescent="0.4">
      <c r="A24" s="301"/>
      <c r="B24" s="264"/>
      <c r="C24" s="264"/>
      <c r="D24" s="264"/>
      <c r="E24" s="264"/>
      <c r="F24" s="265"/>
      <c r="G24" s="375">
        <f>SUM(G23:H23)</f>
        <v>16666488.479999997</v>
      </c>
      <c r="H24" s="376"/>
      <c r="I24" s="260">
        <f>SUM(I23:I23)</f>
        <v>6105117.0099999998</v>
      </c>
      <c r="J24" s="375">
        <f>SUM(J23:L23)</f>
        <v>48197723.026402652</v>
      </c>
      <c r="K24" s="377"/>
      <c r="L24" s="376"/>
      <c r="M24" s="278">
        <f>SUM(M23:M23)</f>
        <v>84849582.780000001</v>
      </c>
      <c r="N24" s="278">
        <f>SUM(N23:N23)</f>
        <v>3094008.4200000018</v>
      </c>
      <c r="O24" s="278">
        <f>SUM(O23:O23)</f>
        <v>25000000</v>
      </c>
      <c r="P24" s="278">
        <f>SUM(P23:P23)</f>
        <v>32854809.640000023</v>
      </c>
      <c r="Q24" s="278">
        <f>Q23</f>
        <v>216767729.35640267</v>
      </c>
      <c r="R24" s="278">
        <f>G24+I24+J24+M24+N24+O24</f>
        <v>183912919.71640265</v>
      </c>
      <c r="S24" s="378">
        <f>S23+T23+U23+V23</f>
        <v>21408520.241625994</v>
      </c>
      <c r="T24" s="379"/>
      <c r="U24" s="379"/>
      <c r="V24" s="370"/>
      <c r="W24" s="326"/>
      <c r="X24" s="327"/>
      <c r="Y24" s="369">
        <f>Y23+Z23</f>
        <v>8258893.5596347377</v>
      </c>
      <c r="Z24" s="370"/>
      <c r="AA24" s="327"/>
      <c r="AB24" s="324"/>
    </row>
    <row r="25" spans="1:28" s="242" customFormat="1" ht="23.25" customHeight="1" x14ac:dyDescent="0.35">
      <c r="C25" s="243"/>
      <c r="D25" s="243"/>
      <c r="E25" s="243"/>
      <c r="F25" s="243"/>
      <c r="G25" s="250"/>
      <c r="H25" s="250"/>
      <c r="I25" s="257"/>
      <c r="J25" s="261"/>
      <c r="K25" s="261"/>
      <c r="L25" s="262"/>
      <c r="M25" s="257"/>
      <c r="N25" s="279"/>
      <c r="O25" s="279"/>
      <c r="P25" s="279"/>
      <c r="Q25" s="279"/>
      <c r="R25" s="280"/>
      <c r="S25" s="280"/>
      <c r="T25" s="280"/>
      <c r="U25" s="264"/>
      <c r="V25" s="318" t="s">
        <v>93</v>
      </c>
      <c r="W25" s="325">
        <f>W5</f>
        <v>47499850.819224305</v>
      </c>
      <c r="X25" s="264"/>
      <c r="Y25" s="264"/>
      <c r="Z25" s="264"/>
      <c r="AA25" s="264"/>
    </row>
    <row r="26" spans="1:28" x14ac:dyDescent="0.35">
      <c r="C26" s="243"/>
      <c r="D26" s="243"/>
      <c r="E26" s="243"/>
      <c r="F26" s="243"/>
      <c r="G26" s="244"/>
      <c r="H26" s="244"/>
      <c r="O26" s="245"/>
      <c r="P26" s="246"/>
      <c r="Q26" s="246"/>
      <c r="V26" s="243" t="s">
        <v>94</v>
      </c>
      <c r="W26" s="241">
        <f>SUM(W6:W21)</f>
        <v>114195735.02020963</v>
      </c>
    </row>
    <row r="27" spans="1:28" x14ac:dyDescent="0.35">
      <c r="A27" s="247"/>
      <c r="C27" s="243"/>
      <c r="D27" s="243"/>
      <c r="E27" s="243"/>
      <c r="F27" s="243"/>
      <c r="G27" s="244"/>
      <c r="H27" s="244"/>
      <c r="V27" s="243" t="s">
        <v>98</v>
      </c>
      <c r="W27" s="241">
        <f>W22</f>
        <v>808813.63534276246</v>
      </c>
    </row>
    <row r="28" spans="1:28" x14ac:dyDescent="0.35">
      <c r="H28" s="241"/>
      <c r="W28" s="244"/>
    </row>
    <row r="29" spans="1:28" x14ac:dyDescent="0.35">
      <c r="V29" s="247"/>
      <c r="W29" s="244"/>
    </row>
    <row r="30" spans="1:28" x14ac:dyDescent="0.35">
      <c r="V30" s="312"/>
    </row>
    <row r="31" spans="1:28" x14ac:dyDescent="0.35">
      <c r="V31" s="312"/>
    </row>
    <row r="35" spans="1:23" x14ac:dyDescent="0.35">
      <c r="G35" s="249"/>
    </row>
    <row r="36" spans="1:23" s="248" customFormat="1" x14ac:dyDescent="0.35">
      <c r="A36" s="239"/>
      <c r="B36" s="239"/>
      <c r="C36" s="239"/>
      <c r="D36" s="239"/>
      <c r="E36" s="239"/>
      <c r="F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</row>
  </sheetData>
  <sheetProtection algorithmName="SHA-512" hashValue="RfH5ccQoN29PXXT2huClfgcuvwoIoPaLYmk/ZNcaQFzlTz7i69fHCO4dBpyO2osjF/thtUYsjLtoGPgYoBSFQg==" saltValue="9zDHHzontRAdO8BmrOc5LA==" spinCount="100000" sheet="1" objects="1" scenarios="1"/>
  <mergeCells count="7">
    <mergeCell ref="Y24:Z24"/>
    <mergeCell ref="B1:F1"/>
    <mergeCell ref="G1:R1"/>
    <mergeCell ref="U1:W1"/>
    <mergeCell ref="G24:H24"/>
    <mergeCell ref="J24:L24"/>
    <mergeCell ref="S24:V24"/>
  </mergeCells>
  <printOptions horizontalCentered="1"/>
  <pageMargins left="0.31496062992125984" right="0.31496062992125984" top="1.5748031496062993" bottom="0.78740157480314965" header="0.31496062992125984" footer="0.31496062992125984"/>
  <pageSetup paperSize="9" scale="28" orientation="landscape" r:id="rId1"/>
  <headerFooter>
    <oddFooter>&amp;LKostenverteilung 2025&amp;CV 1.1&amp;R06.03.2026</oddFooter>
  </headerFooter>
  <ignoredErrors>
    <ignoredError sqref="G23 Y23" formula="1"/>
    <ignoredError sqref="T2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36079127D09647B6B847A068DF803A" ma:contentTypeVersion="5" ma:contentTypeDescription="Ein neues Dokument erstellen." ma:contentTypeScope="" ma:versionID="1a3c448b62487f0ae58354bb4ab15faa">
  <xsd:schema xmlns:xsd="http://www.w3.org/2001/XMLSchema" xmlns:xs="http://www.w3.org/2001/XMLSchema" xmlns:p="http://schemas.microsoft.com/office/2006/metadata/properties" xmlns:ns2="b720a218-5564-4efa-9035-97acff52564c" targetNamespace="http://schemas.microsoft.com/office/2006/metadata/properties" ma:root="true" ma:fieldsID="99eb4e51c8a49491433cc2c52e050882" ns2:_="">
    <xsd:import namespace="b720a218-5564-4efa-9035-97acff52564c"/>
    <xsd:element name="properties">
      <xsd:complexType>
        <xsd:sequence>
          <xsd:element name="documentManagement">
            <xsd:complexType>
              <xsd:all>
                <xsd:element ref="ns2:Themenverantwortlicher"/>
                <xsd:element ref="ns2:Dokumententyp"/>
                <xsd:element ref="ns2:Bearbeitungsstatu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0a218-5564-4efa-9035-97acff52564c" elementFormDefault="qualified">
    <xsd:import namespace="http://schemas.microsoft.com/office/2006/documentManagement/types"/>
    <xsd:import namespace="http://schemas.microsoft.com/office/infopath/2007/PartnerControls"/>
    <xsd:element name="Themenverantwortlicher" ma:index="8" ma:displayName="Themenverantwortlicher" ma:description="Wer bringt diesen TOP ein?" ma:format="Dropdown" ma:internalName="Themenverantwortlicher">
      <xsd:simpleType>
        <xsd:restriction base="dms:Choice">
          <xsd:enumeration value="Geschäftsstelle"/>
          <xsd:enumeration value="Bund"/>
          <xsd:enumeration value="FITKO"/>
          <xsd:enumeration value="Baden-Württemberg"/>
          <xsd:enumeration value="Bayern"/>
          <xsd:enumeration value="Berlin"/>
          <xsd:enumeration value="Brandenburg"/>
          <xsd:enumeration value="Bremen"/>
          <xsd:enumeration value="Hamburg"/>
          <xsd:enumeration value="Hessen"/>
          <xsd:enumeration value="Mecklenburg-Vorpommern"/>
          <xsd:enumeration value="Niedersachsen"/>
          <xsd:enumeration value="Nordrhein-Westfalen"/>
          <xsd:enumeration value="Rheinland-Pfalz"/>
          <xsd:enumeration value="Saarland"/>
          <xsd:enumeration value="Sachsen"/>
          <xsd:enumeration value="Sachsen-Anhalt"/>
          <xsd:enumeration value="Schleswig-Holstein"/>
          <xsd:enumeration value="Thüringen"/>
          <xsd:enumeration value="Dt. Landkreistag"/>
          <xsd:enumeration value="Dt- Städtetag"/>
          <xsd:enumeration value="Dt. Städte-/Gemeindebund"/>
          <xsd:enumeration value="DSTGB"/>
          <xsd:enumeration value="Sonstiges"/>
        </xsd:restriction>
      </xsd:simpleType>
    </xsd:element>
    <xsd:element name="Dokumententyp" ma:index="9" ma:displayName="Dokumententyp" ma:description="Bitte Typ des Dokuments wählen" ma:format="Dropdown" ma:internalName="Dokumententyp">
      <xsd:simpleType>
        <xsd:restriction base="dms:Choice">
          <xsd:enumeration value="Einladung"/>
          <xsd:enumeration value="Tagesordnung"/>
          <xsd:enumeration value="Steckbrief"/>
          <xsd:enumeration value="Anlage"/>
          <xsd:enumeration value="Entscheidungsniederschrift"/>
          <xsd:enumeration value="Protokoll"/>
          <xsd:enumeration value="Zusammenfassung Steckbriefe"/>
          <xsd:enumeration value="Sonstiges"/>
        </xsd:restriction>
      </xsd:simpleType>
    </xsd:element>
    <xsd:element name="Bearbeitungsstatus" ma:index="10" ma:displayName="Bearbeitungsstatus" ma:default="In Bearbeitung/nicht eingereicht" ma:description="Ist Dokument final/kann durch GS geprüft werden?" ma:format="Dropdown" ma:internalName="Bearbeitungsstatus">
      <xsd:simpleType>
        <xsd:restriction base="dms:Choice">
          <xsd:enumeration value="In Bearbeitung/nicht eingereicht"/>
          <xsd:enumeration value="Final/Einreichung bei G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emenverantwortlicher xmlns="b720a218-5564-4efa-9035-97acff52564c">FITKO</Themenverantwortlicher>
    <Bearbeitungsstatus xmlns="b720a218-5564-4efa-9035-97acff52564c">Final/Einreichung bei GS</Bearbeitungsstatus>
    <Dokumententyp xmlns="b720a218-5564-4efa-9035-97acff52564c">Anlage</Dokumententyp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A82910-BEC2-4F5E-87AD-8493C9541856}"/>
</file>

<file path=customXml/itemProps2.xml><?xml version="1.0" encoding="utf-8"?>
<ds:datastoreItem xmlns:ds="http://schemas.openxmlformats.org/officeDocument/2006/customXml" ds:itemID="{7BEDCA99-EB53-4726-A7A4-F19260212D45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sharepoint/v3/field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159847-479A-4BF8-9608-13008EBC3F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Budget</vt:lpstr>
      <vt:lpstr>Kostenvert. Budget</vt:lpstr>
      <vt:lpstr>Kostenvert 2025 Ergebnis</vt:lpstr>
      <vt:lpstr>Budget!Druckbereich</vt:lpstr>
      <vt:lpstr>'Kostenvert 2025 Ergebnis'!Druckbereich</vt:lpstr>
      <vt:lpstr>'Kostenvert. Budget'!Druckbereich</vt:lpstr>
      <vt:lpstr>Budget!Drucktitel</vt:lpstr>
      <vt:lpstr>'Kostenvert 2025 Ergebnis'!Drucktitel</vt:lpstr>
      <vt:lpstr>'Kostenvert. Budget'!Drucktitel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Sturm, Alexander (FITKO)</dc:creator>
  <cp:lastModifiedBy>Sturm, Alexander (FITKO)</cp:lastModifiedBy>
  <cp:lastPrinted>2026-03-06T14:55:42Z</cp:lastPrinted>
  <dcterms:created xsi:type="dcterms:W3CDTF">2018-02-02T11:35:19Z</dcterms:created>
  <dcterms:modified xsi:type="dcterms:W3CDTF">2026-03-08T20:46:52Z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0x0101001E36079127D09647B6B847A068DF803A</vt:lpwstr>
  </property>
</Properties>
</file>