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hidePivotFieldList="1"/>
  <xr:revisionPtr revIDLastSave="0" documentId="13_ncr:1_{4F89DE74-A9B6-4130-B2AD-40BD4E5D1702}" xr6:coauthVersionLast="47" xr6:coauthVersionMax="47" xr10:uidLastSave="{00000000-0000-0000-0000-000000000000}"/>
  <bookViews>
    <workbookView xWindow="-28920" yWindow="-4155" windowWidth="29040" windowHeight="15720" activeTab="2" xr2:uid="{00000000-000D-0000-FFFF-FFFF00000000}"/>
  </bookViews>
  <sheets>
    <sheet name="Erläuterung" sheetId="11" r:id="rId1"/>
    <sheet name="Dashboard" sheetId="13" r:id="rId2"/>
    <sheet name="Business Case" sheetId="8" r:id="rId3"/>
    <sheet name="Sensitivitäten" sheetId="12" r:id="rId4"/>
    <sheet name="Eingangswerte" sheetId="9" r:id="rId5"/>
  </sheets>
  <definedNames>
    <definedName name="_xlnm.Print_Area" localSheetId="2">'Business Case'!$A:$I</definedName>
    <definedName name="_xlnm.Print_Titles" localSheetId="2">'Business Case'!$A:$A</definedName>
    <definedName name="Gesamtergebnis2029">'Business Case'!$G$57</definedName>
    <definedName name="ParameterAnzahlLandesbehörden">Eingangswerte!$D$35</definedName>
    <definedName name="ParameterAnzahlMALanedesbehörde">Eingangswerte!$D$36</definedName>
    <definedName name="ParameterBestellungen2025">Eingangswerte!$C$43</definedName>
    <definedName name="ParameterBestellungen2026">Eingangswerte!$D$43</definedName>
    <definedName name="ParameterBestellungen2027">Eingangswerte!$E$43</definedName>
    <definedName name="ParameterBestellungen2028">Eingangswerte!$F$43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9" l="1"/>
  <c r="D47" i="8"/>
  <c r="C13" i="13" s="1"/>
  <c r="A55" i="8"/>
  <c r="E48" i="8" l="1"/>
  <c r="F48" i="8" s="1"/>
  <c r="G48" i="8" s="1"/>
  <c r="H48" i="8" s="1"/>
  <c r="C38" i="8" l="1"/>
  <c r="C37" i="8"/>
  <c r="C36" i="8"/>
  <c r="B6" i="13"/>
  <c r="F31" i="12"/>
  <c r="G16" i="8"/>
  <c r="B36" i="12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D34" i="12"/>
  <c r="E34" i="12" s="1"/>
  <c r="F34" i="12" s="1"/>
  <c r="G34" i="12" s="1"/>
  <c r="H34" i="12" s="1"/>
  <c r="I34" i="12" s="1"/>
  <c r="J34" i="12" s="1"/>
  <c r="K34" i="12" s="1"/>
  <c r="L34" i="12" s="1"/>
  <c r="M34" i="12" s="1"/>
  <c r="N34" i="12" s="1"/>
  <c r="B13" i="13" l="1"/>
  <c r="C7" i="13"/>
  <c r="B11" i="13"/>
  <c r="C10" i="13"/>
  <c r="B10" i="13"/>
  <c r="B8" i="13"/>
  <c r="B9" i="13"/>
  <c r="C6" i="13"/>
  <c r="C10" i="8" l="1"/>
  <c r="C8" i="13" s="1"/>
  <c r="B14" i="12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D12" i="12"/>
  <c r="E12" i="12" s="1"/>
  <c r="F12" i="12" s="1"/>
  <c r="G12" i="12" s="1"/>
  <c r="H12" i="12" s="1"/>
  <c r="I12" i="12" s="1"/>
  <c r="J12" i="12" s="1"/>
  <c r="K12" i="12" s="1"/>
  <c r="L12" i="12" s="1"/>
  <c r="M12" i="12" s="1"/>
  <c r="N12" i="12" s="1"/>
  <c r="C31" i="8" l="1"/>
  <c r="C12" i="13" s="1"/>
  <c r="H12" i="8"/>
  <c r="G12" i="8"/>
  <c r="F12" i="8"/>
  <c r="E12" i="8"/>
  <c r="D12" i="8"/>
  <c r="C12" i="8"/>
  <c r="C15" i="8"/>
  <c r="C21" i="8" s="1"/>
  <c r="D90" i="8"/>
  <c r="C89" i="8"/>
  <c r="C91" i="8" s="1"/>
  <c r="C52" i="8" s="1"/>
  <c r="P15" i="13" s="1"/>
  <c r="P25" i="13" s="1"/>
  <c r="D88" i="8"/>
  <c r="D87" i="8"/>
  <c r="D86" i="8"/>
  <c r="D85" i="8"/>
  <c r="D84" i="8"/>
  <c r="D82" i="8"/>
  <c r="D81" i="8"/>
  <c r="C80" i="8"/>
  <c r="D79" i="8"/>
  <c r="D78" i="8"/>
  <c r="D77" i="8"/>
  <c r="D76" i="8"/>
  <c r="D75" i="8"/>
  <c r="D74" i="8"/>
  <c r="C73" i="8"/>
  <c r="D72" i="8"/>
  <c r="D71" i="8"/>
  <c r="D70" i="8"/>
  <c r="D69" i="8"/>
  <c r="C68" i="8"/>
  <c r="D67" i="8"/>
  <c r="D66" i="8"/>
  <c r="D65" i="8"/>
  <c r="D64" i="8"/>
  <c r="D63" i="8"/>
  <c r="D62" i="8"/>
  <c r="D61" i="8"/>
  <c r="E47" i="8"/>
  <c r="F47" i="8" s="1"/>
  <c r="G47" i="8" s="1"/>
  <c r="H47" i="8" s="1"/>
  <c r="D38" i="8"/>
  <c r="D37" i="8"/>
  <c r="D36" i="8"/>
  <c r="D33" i="8"/>
  <c r="E33" i="8" s="1"/>
  <c r="D32" i="8"/>
  <c r="E32" i="8" s="1"/>
  <c r="F32" i="8" s="1"/>
  <c r="G32" i="8" s="1"/>
  <c r="H32" i="8" s="1"/>
  <c r="D10" i="8"/>
  <c r="E13" i="8"/>
  <c r="D9" i="8"/>
  <c r="D8" i="8"/>
  <c r="D7" i="8"/>
  <c r="E5" i="8"/>
  <c r="F13" i="8" l="1"/>
  <c r="G13" i="8" s="1"/>
  <c r="H13" i="8" s="1"/>
  <c r="C9" i="13"/>
  <c r="E61" i="8"/>
  <c r="C83" i="8"/>
  <c r="C92" i="8" s="1"/>
  <c r="C55" i="8" s="1"/>
  <c r="D73" i="8"/>
  <c r="C22" i="8"/>
  <c r="P10" i="13" s="1"/>
  <c r="C19" i="8"/>
  <c r="E71" i="8"/>
  <c r="E7" i="8"/>
  <c r="E8" i="8"/>
  <c r="E82" i="8"/>
  <c r="E9" i="8"/>
  <c r="E86" i="8"/>
  <c r="E87" i="8"/>
  <c r="E10" i="8"/>
  <c r="E65" i="8"/>
  <c r="E90" i="8"/>
  <c r="E66" i="8"/>
  <c r="E78" i="8"/>
  <c r="E37" i="8"/>
  <c r="E62" i="8"/>
  <c r="E69" i="8"/>
  <c r="E88" i="8"/>
  <c r="E77" i="8"/>
  <c r="E70" i="8"/>
  <c r="E63" i="8"/>
  <c r="E81" i="8"/>
  <c r="E74" i="8"/>
  <c r="E38" i="8"/>
  <c r="E75" i="8"/>
  <c r="E67" i="8"/>
  <c r="D89" i="8"/>
  <c r="D91" i="8" s="1"/>
  <c r="D52" i="8" s="1"/>
  <c r="Q15" i="13" s="1"/>
  <c r="Q25" i="13" s="1"/>
  <c r="E31" i="8"/>
  <c r="F33" i="8"/>
  <c r="F5" i="8"/>
  <c r="G5" i="8" s="1"/>
  <c r="H5" i="8" s="1"/>
  <c r="E79" i="8"/>
  <c r="E84" i="8"/>
  <c r="D80" i="8"/>
  <c r="E36" i="8"/>
  <c r="E64" i="8"/>
  <c r="E72" i="8"/>
  <c r="E76" i="8"/>
  <c r="D68" i="8"/>
  <c r="E85" i="8"/>
  <c r="D31" i="8"/>
  <c r="D49" i="8" l="1"/>
  <c r="D56" i="8" s="1"/>
  <c r="F69" i="8"/>
  <c r="G69" i="8" s="1"/>
  <c r="F66" i="8"/>
  <c r="G66" i="8" s="1"/>
  <c r="H66" i="8" s="1"/>
  <c r="F9" i="8"/>
  <c r="G9" i="8" s="1"/>
  <c r="H9" i="8" s="1"/>
  <c r="F79" i="8"/>
  <c r="G79" i="8" s="1"/>
  <c r="H79" i="8" s="1"/>
  <c r="F70" i="8"/>
  <c r="G70" i="8" s="1"/>
  <c r="H70" i="8" s="1"/>
  <c r="D83" i="8"/>
  <c r="D92" i="8" s="1"/>
  <c r="D55" i="8" s="1"/>
  <c r="F87" i="8"/>
  <c r="G87" i="8" s="1"/>
  <c r="H87" i="8" s="1"/>
  <c r="F77" i="8"/>
  <c r="G77" i="8" s="1"/>
  <c r="H77" i="8" s="1"/>
  <c r="F85" i="8"/>
  <c r="G85" i="8" s="1"/>
  <c r="H85" i="8" s="1"/>
  <c r="F90" i="8"/>
  <c r="G90" i="8" s="1"/>
  <c r="H90" i="8" s="1"/>
  <c r="F65" i="8"/>
  <c r="G65" i="8" s="1"/>
  <c r="H65" i="8" s="1"/>
  <c r="F61" i="8"/>
  <c r="G61" i="8" s="1"/>
  <c r="F72" i="8"/>
  <c r="G72" i="8" s="1"/>
  <c r="H72" i="8" s="1"/>
  <c r="F64" i="8"/>
  <c r="G64" i="8" s="1"/>
  <c r="H64" i="8" s="1"/>
  <c r="F67" i="8"/>
  <c r="G67" i="8" s="1"/>
  <c r="H67" i="8" s="1"/>
  <c r="F78" i="8"/>
  <c r="G78" i="8" s="1"/>
  <c r="H78" i="8" s="1"/>
  <c r="F86" i="8"/>
  <c r="G86" i="8" s="1"/>
  <c r="H86" i="8" s="1"/>
  <c r="F63" i="8"/>
  <c r="G63" i="8" s="1"/>
  <c r="H63" i="8" s="1"/>
  <c r="F8" i="8"/>
  <c r="G8" i="8" s="1"/>
  <c r="H8" i="8" s="1"/>
  <c r="F88" i="8"/>
  <c r="G88" i="8" s="1"/>
  <c r="H88" i="8" s="1"/>
  <c r="F76" i="8"/>
  <c r="G76" i="8" s="1"/>
  <c r="H76" i="8" s="1"/>
  <c r="F36" i="8"/>
  <c r="G36" i="8" s="1"/>
  <c r="H36" i="8" s="1"/>
  <c r="F37" i="8"/>
  <c r="G37" i="8" s="1"/>
  <c r="H37" i="8" s="1"/>
  <c r="E68" i="8"/>
  <c r="D15" i="8"/>
  <c r="F75" i="8"/>
  <c r="G75" i="8" s="1"/>
  <c r="H75" i="8" s="1"/>
  <c r="F62" i="8"/>
  <c r="G62" i="8" s="1"/>
  <c r="H62" i="8" s="1"/>
  <c r="F81" i="8"/>
  <c r="F38" i="8"/>
  <c r="G38" i="8" s="1"/>
  <c r="H38" i="8" s="1"/>
  <c r="F82" i="8"/>
  <c r="G82" i="8" s="1"/>
  <c r="H82" i="8" s="1"/>
  <c r="E73" i="8"/>
  <c r="F84" i="8"/>
  <c r="E89" i="8"/>
  <c r="E91" i="8" s="1"/>
  <c r="E52" i="8" s="1"/>
  <c r="R15" i="13" s="1"/>
  <c r="R25" i="13" s="1"/>
  <c r="G33" i="8"/>
  <c r="F31" i="8"/>
  <c r="F74" i="8"/>
  <c r="E80" i="8"/>
  <c r="F71" i="8"/>
  <c r="G71" i="8" s="1"/>
  <c r="H71" i="8" s="1"/>
  <c r="F10" i="8"/>
  <c r="F7" i="8"/>
  <c r="G7" i="8" s="1"/>
  <c r="H7" i="8" s="1"/>
  <c r="E49" i="8" l="1"/>
  <c r="E56" i="8" s="1"/>
  <c r="G10" i="8"/>
  <c r="H10" i="8" s="1"/>
  <c r="F73" i="8"/>
  <c r="F68" i="8"/>
  <c r="F89" i="8"/>
  <c r="F91" i="8" s="1"/>
  <c r="F52" i="8" s="1"/>
  <c r="S15" i="13" s="1"/>
  <c r="S25" i="13" s="1"/>
  <c r="G84" i="8"/>
  <c r="E83" i="8"/>
  <c r="E92" i="8" s="1"/>
  <c r="E55" i="8" s="1"/>
  <c r="G74" i="8"/>
  <c r="F80" i="8"/>
  <c r="E15" i="8"/>
  <c r="D21" i="8"/>
  <c r="E18" i="8" s="1"/>
  <c r="H69" i="8"/>
  <c r="H73" i="8" s="1"/>
  <c r="G73" i="8"/>
  <c r="G68" i="8"/>
  <c r="H61" i="8"/>
  <c r="H68" i="8" s="1"/>
  <c r="G81" i="8"/>
  <c r="G31" i="8"/>
  <c r="H33" i="8"/>
  <c r="H31" i="8" s="1"/>
  <c r="D18" i="8"/>
  <c r="C27" i="8"/>
  <c r="C29" i="8" s="1"/>
  <c r="F49" i="8" l="1"/>
  <c r="F56" i="8" s="1"/>
  <c r="F83" i="8"/>
  <c r="F92" i="8" s="1"/>
  <c r="F55" i="8" s="1"/>
  <c r="D20" i="8"/>
  <c r="D19" i="8" s="1"/>
  <c r="D27" i="8" s="1"/>
  <c r="D22" i="8"/>
  <c r="Q10" i="13" s="1"/>
  <c r="D26" i="8"/>
  <c r="C30" i="8"/>
  <c r="F15" i="8"/>
  <c r="E21" i="8"/>
  <c r="H74" i="8"/>
  <c r="H80" i="8" s="1"/>
  <c r="H49" i="8" s="1"/>
  <c r="H56" i="8" s="1"/>
  <c r="G80" i="8"/>
  <c r="G83" i="8" s="1"/>
  <c r="H81" i="8"/>
  <c r="G89" i="8"/>
  <c r="G91" i="8" s="1"/>
  <c r="H84" i="8"/>
  <c r="H89" i="8" s="1"/>
  <c r="H91" i="8" s="1"/>
  <c r="G49" i="8" l="1"/>
  <c r="G56" i="8" s="1"/>
  <c r="P11" i="13"/>
  <c r="C40" i="8"/>
  <c r="P7" i="13" s="1"/>
  <c r="G52" i="8"/>
  <c r="T15" i="13" s="1"/>
  <c r="T25" i="13" s="1"/>
  <c r="H83" i="8"/>
  <c r="H92" i="8" s="1"/>
  <c r="H55" i="8" s="1"/>
  <c r="G92" i="8"/>
  <c r="G55" i="8" s="1"/>
  <c r="G15" i="8"/>
  <c r="F21" i="8"/>
  <c r="C41" i="8"/>
  <c r="C42" i="8"/>
  <c r="P9" i="13" s="1"/>
  <c r="D28" i="8"/>
  <c r="D29" i="8" s="1"/>
  <c r="E20" i="8"/>
  <c r="E19" i="8" s="1"/>
  <c r="E27" i="8" s="1"/>
  <c r="E22" i="8"/>
  <c r="R10" i="13" s="1"/>
  <c r="H52" i="8"/>
  <c r="U15" i="13" s="1"/>
  <c r="U25" i="13" s="1"/>
  <c r="F18" i="8"/>
  <c r="P8" i="13" l="1"/>
  <c r="P21" i="13" s="1"/>
  <c r="E26" i="8"/>
  <c r="E28" i="8" s="1"/>
  <c r="D30" i="8"/>
  <c r="Q11" i="13" s="1"/>
  <c r="F22" i="8"/>
  <c r="S10" i="13" s="1"/>
  <c r="F20" i="8"/>
  <c r="F19" i="8" s="1"/>
  <c r="F27" i="8" s="1"/>
  <c r="C45" i="8"/>
  <c r="G18" i="8"/>
  <c r="G21" i="8"/>
  <c r="H15" i="8"/>
  <c r="H21" i="8" s="1"/>
  <c r="G22" i="8" l="1"/>
  <c r="T10" i="13" s="1"/>
  <c r="G20" i="8"/>
  <c r="G19" i="8" s="1"/>
  <c r="G27" i="8" s="1"/>
  <c r="H18" i="8"/>
  <c r="D41" i="8"/>
  <c r="D40" i="8"/>
  <c r="Q7" i="13" s="1"/>
  <c r="D42" i="8"/>
  <c r="Q9" i="13" s="1"/>
  <c r="E29" i="8"/>
  <c r="Q8" i="13" l="1"/>
  <c r="Q21" i="13" s="1"/>
  <c r="D45" i="8"/>
  <c r="F26" i="8"/>
  <c r="E30" i="8"/>
  <c r="R11" i="13" s="1"/>
  <c r="H22" i="8"/>
  <c r="H20" i="8"/>
  <c r="H19" i="8" s="1"/>
  <c r="H27" i="8" s="1"/>
  <c r="U10" i="13" l="1"/>
  <c r="E42" i="8"/>
  <c r="R9" i="13" s="1"/>
  <c r="E40" i="8"/>
  <c r="R7" i="13" s="1"/>
  <c r="E41" i="8"/>
  <c r="F28" i="8"/>
  <c r="F29" i="8" s="1"/>
  <c r="R8" i="13" l="1"/>
  <c r="R21" i="13" s="1"/>
  <c r="E45" i="8"/>
  <c r="G26" i="8"/>
  <c r="F30" i="8"/>
  <c r="S11" i="13" s="1"/>
  <c r="F42" i="8" l="1"/>
  <c r="S9" i="13" s="1"/>
  <c r="F40" i="8"/>
  <c r="S7" i="13" s="1"/>
  <c r="F41" i="8"/>
  <c r="G28" i="8"/>
  <c r="G29" i="8" s="1"/>
  <c r="H26" i="8" s="1"/>
  <c r="S8" i="13" l="1"/>
  <c r="S21" i="13" s="1"/>
  <c r="F45" i="8"/>
  <c r="G30" i="8"/>
  <c r="T11" i="13" s="1"/>
  <c r="H28" i="8"/>
  <c r="H29" i="8" s="1"/>
  <c r="H30" i="8" s="1"/>
  <c r="U11" i="13" s="1"/>
  <c r="H42" i="8" l="1"/>
  <c r="U9" i="13" s="1"/>
  <c r="H40" i="8"/>
  <c r="U7" i="13" s="1"/>
  <c r="H41" i="8"/>
  <c r="G42" i="8"/>
  <c r="T9" i="13" s="1"/>
  <c r="G40" i="8"/>
  <c r="T7" i="13" s="1"/>
  <c r="G41" i="8"/>
  <c r="T8" i="13" l="1"/>
  <c r="T21" i="13" s="1"/>
  <c r="U8" i="13"/>
  <c r="U21" i="13" s="1"/>
  <c r="G45" i="8"/>
  <c r="H45" i="8"/>
  <c r="C51" i="9" l="1"/>
  <c r="D50" i="9"/>
  <c r="E50" i="9" s="1"/>
  <c r="F50" i="9" s="1"/>
  <c r="G50" i="9" s="1"/>
  <c r="H50" i="9" s="1"/>
  <c r="D49" i="9"/>
  <c r="E49" i="9" s="1"/>
  <c r="F49" i="9" l="1"/>
  <c r="E51" i="9"/>
  <c r="D51" i="9"/>
  <c r="G49" i="9" l="1"/>
  <c r="H49" i="9" s="1"/>
  <c r="F51" i="9"/>
  <c r="G51" i="9" s="1"/>
  <c r="H51" i="9" s="1"/>
  <c r="C36" i="9"/>
  <c r="E36" i="9"/>
  <c r="B35" i="9"/>
  <c r="B36" i="9" s="1"/>
  <c r="D36" i="9"/>
  <c r="C23" i="8" s="1"/>
  <c r="C24" i="8" l="1"/>
  <c r="D23" i="8"/>
  <c r="E23" i="8" s="1"/>
  <c r="F23" i="8" s="1"/>
  <c r="G23" i="8" s="1"/>
  <c r="H23" i="8" s="1"/>
  <c r="C11" i="13" l="1"/>
  <c r="D24" i="8"/>
  <c r="C35" i="8"/>
  <c r="C39" i="8" s="1"/>
  <c r="P6" i="13" l="1"/>
  <c r="P20" i="13" s="1"/>
  <c r="C43" i="8"/>
  <c r="C44" i="8" s="1"/>
  <c r="E24" i="8"/>
  <c r="D35" i="8"/>
  <c r="D39" i="8" s="1"/>
  <c r="P22" i="13" l="1"/>
  <c r="P23" i="13" s="1"/>
  <c r="C51" i="8"/>
  <c r="Q6" i="13"/>
  <c r="Q20" i="13" s="1"/>
  <c r="D43" i="8"/>
  <c r="D44" i="8" s="1"/>
  <c r="F24" i="8"/>
  <c r="E35" i="8"/>
  <c r="E39" i="8" s="1"/>
  <c r="Q22" i="13" l="1"/>
  <c r="Q23" i="13" s="1"/>
  <c r="R6" i="13"/>
  <c r="R20" i="13" s="1"/>
  <c r="E43" i="8"/>
  <c r="E44" i="8" s="1"/>
  <c r="F35" i="8"/>
  <c r="F39" i="8" s="1"/>
  <c r="G24" i="8"/>
  <c r="D51" i="8"/>
  <c r="C54" i="8"/>
  <c r="P14" i="13"/>
  <c r="P24" i="13" s="1"/>
  <c r="C57" i="8" l="1"/>
  <c r="P16" i="13" s="1"/>
  <c r="R22" i="13"/>
  <c r="R23" i="13" s="1"/>
  <c r="H24" i="8"/>
  <c r="H35" i="8" s="1"/>
  <c r="H39" i="8" s="1"/>
  <c r="G35" i="8"/>
  <c r="G39" i="8" s="1"/>
  <c r="E51" i="8"/>
  <c r="D54" i="8"/>
  <c r="D57" i="8" s="1"/>
  <c r="Q16" i="13" s="1"/>
  <c r="Q14" i="13"/>
  <c r="Q24" i="13" s="1"/>
  <c r="S6" i="13"/>
  <c r="S20" i="13" s="1"/>
  <c r="F43" i="8"/>
  <c r="F44" i="8" s="1"/>
  <c r="Q17" i="13" l="1"/>
  <c r="Q26" i="13" s="1"/>
  <c r="P17" i="13"/>
  <c r="P26" i="13" s="1"/>
  <c r="P28" i="13" s="1"/>
  <c r="C59" i="8"/>
  <c r="D59" i="8" s="1"/>
  <c r="C58" i="8"/>
  <c r="S22" i="13"/>
  <c r="S23" i="13" s="1"/>
  <c r="D58" i="8"/>
  <c r="F51" i="8"/>
  <c r="T6" i="13"/>
  <c r="T20" i="13" s="1"/>
  <c r="G43" i="8"/>
  <c r="G44" i="8" s="1"/>
  <c r="E54" i="8"/>
  <c r="E57" i="8" s="1"/>
  <c r="R16" i="13" s="1"/>
  <c r="R14" i="13"/>
  <c r="R24" i="13" s="1"/>
  <c r="U6" i="13"/>
  <c r="U20" i="13" s="1"/>
  <c r="H43" i="8"/>
  <c r="H44" i="8" s="1"/>
  <c r="Q28" i="13" l="1"/>
  <c r="R17" i="13"/>
  <c r="R26" i="13" s="1"/>
  <c r="T22" i="13"/>
  <c r="T23" i="13" s="1"/>
  <c r="U22" i="13"/>
  <c r="U23" i="13" s="1"/>
  <c r="E59" i="8"/>
  <c r="F54" i="8"/>
  <c r="F57" i="8" s="1"/>
  <c r="S16" i="13" s="1"/>
  <c r="S14" i="13"/>
  <c r="S24" i="13" s="1"/>
  <c r="E58" i="8"/>
  <c r="G51" i="8"/>
  <c r="H51" i="8"/>
  <c r="R28" i="13" l="1"/>
  <c r="S17" i="13"/>
  <c r="S26" i="13" s="1"/>
  <c r="F59" i="8"/>
  <c r="G54" i="8"/>
  <c r="G57" i="8" s="1"/>
  <c r="T16" i="13" s="1"/>
  <c r="T14" i="13"/>
  <c r="T24" i="13" s="1"/>
  <c r="U14" i="13"/>
  <c r="U24" i="13" s="1"/>
  <c r="H54" i="8"/>
  <c r="H57" i="8" s="1"/>
  <c r="U16" i="13" s="1"/>
  <c r="F58" i="8"/>
  <c r="S28" i="13" l="1"/>
  <c r="U17" i="13"/>
  <c r="U26" i="13" s="1"/>
  <c r="T17" i="13"/>
  <c r="T26" i="13" s="1"/>
  <c r="G59" i="8"/>
  <c r="H59" i="8" s="1"/>
  <c r="H58" i="8"/>
  <c r="F32" i="12"/>
  <c r="B34" i="12" s="1"/>
  <c r="F9" i="12"/>
  <c r="B12" i="12" s="1"/>
  <c r="G58" i="8"/>
  <c r="T28" i="13" l="1"/>
  <c r="U28" i="13" s="1"/>
</calcChain>
</file>

<file path=xl/sharedStrings.xml><?xml version="1.0" encoding="utf-8"?>
<sst xmlns="http://schemas.openxmlformats.org/spreadsheetml/2006/main" count="392" uniqueCount="255">
  <si>
    <t>Ergebnis</t>
  </si>
  <si>
    <t>2.1.1.1</t>
  </si>
  <si>
    <t>IT Betrieb für 12 Monate</t>
  </si>
  <si>
    <t>2.1.1.2</t>
  </si>
  <si>
    <t>IT Betriebssteuerung</t>
  </si>
  <si>
    <t>2.1.1.3</t>
  </si>
  <si>
    <t>IT Servicesteuerung</t>
  </si>
  <si>
    <t>2.1.1.4</t>
  </si>
  <si>
    <t>IT Service Management</t>
  </si>
  <si>
    <t>2.1.1.5</t>
  </si>
  <si>
    <t>Informationssicherheit &amp; Datenschutz</t>
  </si>
  <si>
    <t>2.1.1.6</t>
  </si>
  <si>
    <t>Tools (Lizenzen)</t>
  </si>
  <si>
    <t>2.1.1.7</t>
  </si>
  <si>
    <t>Tools (Lizenzen)  (ggf. Preisanpassungen)</t>
  </si>
  <si>
    <t>Technischer Betrieb: Platform, IAM, Umsysteme Ergebnis</t>
  </si>
  <si>
    <t>2.1.2.1</t>
  </si>
  <si>
    <t>Bug-Fixing (v.a. in der Eigenentwicklung)</t>
  </si>
  <si>
    <t>2.1.2.2</t>
  </si>
  <si>
    <t>Software Updates</t>
  </si>
  <si>
    <t>2.1.2.3</t>
  </si>
  <si>
    <t>Notwendige Weiterentwicklungen</t>
  </si>
  <si>
    <t>2.1.2.4</t>
  </si>
  <si>
    <t>Risikopuffer</t>
  </si>
  <si>
    <t>Technischer Betrieb: Basis-Entwicklung  Ergebnis</t>
  </si>
  <si>
    <t>2.2.1.1</t>
  </si>
  <si>
    <t>Portfoliomanagement und Begleitung von Kunden/Anbietern</t>
  </si>
  <si>
    <t>2.2.1.2</t>
  </si>
  <si>
    <t>Juristische Tätigkeiten</t>
  </si>
  <si>
    <t>2.2.1.3</t>
  </si>
  <si>
    <t>Informationsmaterialien, Schulung &amp; Kommunikation</t>
  </si>
  <si>
    <t>2.2.1.4</t>
  </si>
  <si>
    <t>Zuarbeiten für die Koordinierungsstelle</t>
  </si>
  <si>
    <t>2.2.1.5</t>
  </si>
  <si>
    <t>2.2.3.1</t>
  </si>
  <si>
    <t>Technische Expertise</t>
  </si>
  <si>
    <t>Fachlicher Betrieb Ergebnis</t>
  </si>
  <si>
    <t>3.1.1</t>
  </si>
  <si>
    <t>Weiterentwicklung des CSP</t>
  </si>
  <si>
    <t>3.1.2</t>
  </si>
  <si>
    <t>Weiterentwicklung IAM</t>
  </si>
  <si>
    <t>3.1.3</t>
  </si>
  <si>
    <t>Weiterentwicklung Umsysteme</t>
  </si>
  <si>
    <t>3.1.4</t>
  </si>
  <si>
    <t>3.1.5</t>
  </si>
  <si>
    <t>3.2.1</t>
  </si>
  <si>
    <t>Steuerung der Weiterentwicklung der DVC</t>
  </si>
  <si>
    <t>Weiterentwicklung / Projekte Ergebnis</t>
  </si>
  <si>
    <t>Bestellungen</t>
  </si>
  <si>
    <t>Kunden</t>
  </si>
  <si>
    <t>Services</t>
  </si>
  <si>
    <t>Kommentar</t>
  </si>
  <si>
    <t>Gesamtbetriebssteuerung, Controlling, Stakeholdermanagement</t>
  </si>
  <si>
    <t>Weiterentwicklung CSP-Ökosystem</t>
  </si>
  <si>
    <t>Koordinierungsstelle</t>
  </si>
  <si>
    <t>Betrieb und Koordinierungsstelle</t>
  </si>
  <si>
    <t>DVC Betrieb, Koordinierungsstelle, Weiterentwicklung</t>
  </si>
  <si>
    <t>Steuerung, Controlling, Stakeholdermanagement</t>
  </si>
  <si>
    <t>Anzahl Services pro Jahr</t>
  </si>
  <si>
    <t>Wachstumsprojektion CSP</t>
  </si>
  <si>
    <t>Anteil S-Services</t>
  </si>
  <si>
    <t>Anteil M-Services</t>
  </si>
  <si>
    <t>Anteil L-Services</t>
  </si>
  <si>
    <t>Preismodell</t>
  </si>
  <si>
    <t>Aufschlag in % der Kosten des Service</t>
  </si>
  <si>
    <t>Mitgliederbeiträge</t>
  </si>
  <si>
    <t>S Service Entwicklung p.a.</t>
  </si>
  <si>
    <t>S Service Betrieb p.a.</t>
  </si>
  <si>
    <t>M Service Entwicklung p.a.</t>
  </si>
  <si>
    <t>M Service Betrieb p.a.</t>
  </si>
  <si>
    <t>L Service Entwicklung p.a.</t>
  </si>
  <si>
    <t>L Service Betrieb p.a.</t>
  </si>
  <si>
    <t>Ø Umsatz Service Monat S</t>
  </si>
  <si>
    <t>Ø Umsatz Service Monat M</t>
  </si>
  <si>
    <t>Ø Umsatz Service Monat L</t>
  </si>
  <si>
    <t>Umsatz Cloud-Service-Anbieter</t>
  </si>
  <si>
    <t>Umsatz S-Services</t>
  </si>
  <si>
    <t>Umsatz M-Services</t>
  </si>
  <si>
    <t>Umsatz L-Services</t>
  </si>
  <si>
    <t>€</t>
  </si>
  <si>
    <t>Anzahl</t>
  </si>
  <si>
    <t>Ø Umsatz je Service Monat</t>
  </si>
  <si>
    <t>€ p.a.</t>
  </si>
  <si>
    <t>€ p.m.</t>
  </si>
  <si>
    <t>kumuliert</t>
  </si>
  <si>
    <t>Tsd. €</t>
  </si>
  <si>
    <t>Kosten-/Preissteigerung pro Jahr</t>
  </si>
  <si>
    <t>Annahmen &amp; Mengengerüst DVC Business Case</t>
  </si>
  <si>
    <t>Pauschaler Aufschlag bei Kauf/Nutzung Cloud Service</t>
  </si>
  <si>
    <t>%</t>
  </si>
  <si>
    <t>Insgesamt</t>
  </si>
  <si>
    <t>Allgemeine Dienste</t>
  </si>
  <si>
    <t>Politische Führung und zentrale Verwaltung</t>
  </si>
  <si>
    <t>Auswärtige Angelegenheiten</t>
  </si>
  <si>
    <t>Verteidigung</t>
  </si>
  <si>
    <t>Öffentliche Sicherheit und Ordnung</t>
  </si>
  <si>
    <t>Polizei</t>
  </si>
  <si>
    <t>Rechtsschutz</t>
  </si>
  <si>
    <t>Finanzverwaltung</t>
  </si>
  <si>
    <t>Bildungswesen, Wissenschaft, Forschung, kulturelle Angelegenheiten</t>
  </si>
  <si>
    <t>Allgemeinbildende und berufliche Schulen</t>
  </si>
  <si>
    <t>Hochschulen</t>
  </si>
  <si>
    <t>Soziale Sicherung, Familie und Jugend, Arbeitsmarktpolitik</t>
  </si>
  <si>
    <t>Kindertagesbetreuung nach dem SGB VIII</t>
  </si>
  <si>
    <t>Gesundheit, Umwelt, Sport und Erholung</t>
  </si>
  <si>
    <t>Krankenhäuser und Heilstätten</t>
  </si>
  <si>
    <t>Wohnungswesen, Städtebau, Raumordnung und kommunale Gemeinschaftsdienste</t>
  </si>
  <si>
    <t>Ernährung, Landwirtschaft und Forsten</t>
  </si>
  <si>
    <t>Energie- und Wasserwirtschaft, Gewerbe, Dienstleistungen</t>
  </si>
  <si>
    <t>Verkehrs- und Nachrichtenwesen</t>
  </si>
  <si>
    <t>Finanzwirtschaft</t>
  </si>
  <si>
    <t>https://www.destatis.de/DE/Themen/Staat/Oeffentlicher-Dienst/Tabellen/beschaeftigte-aufgaben.html</t>
  </si>
  <si>
    <t>Bund</t>
  </si>
  <si>
    <t>Land</t>
  </si>
  <si>
    <t>Kommunen</t>
  </si>
  <si>
    <t>0.000</t>
  </si>
  <si>
    <t>Kundenmarkt (Nutzende)</t>
  </si>
  <si>
    <t>Kundenmarkt (Organisationen)</t>
  </si>
  <si>
    <t>Umsatz Großkunden</t>
  </si>
  <si>
    <t>Ø Vertragsbestand Großkunden</t>
  </si>
  <si>
    <t>Anzahl Behörden/Organisationen</t>
  </si>
  <si>
    <t>Ø Umsatz Service Monat Großkunden</t>
  </si>
  <si>
    <t>Durschnittliche MA je Behörde/Organisation</t>
  </si>
  <si>
    <t>Großkunden: Abrechnung nach Nutzenden</t>
  </si>
  <si>
    <t>Ø Umsatz je Service Monat ohne Großkunden</t>
  </si>
  <si>
    <t>Ø Vertragsbestand Standard</t>
  </si>
  <si>
    <t>Langfristige Finanzierung - Business Case DVC</t>
  </si>
  <si>
    <t>Stand 27.11.2024</t>
  </si>
  <si>
    <t>Inhaltsübersicht</t>
  </si>
  <si>
    <t>Business Case</t>
  </si>
  <si>
    <t>Ergebnisübersicht und grafische Auswertung des Business Case</t>
  </si>
  <si>
    <t>Kalkulation auf Basis der dort getroffenen Annahmen</t>
  </si>
  <si>
    <t>Fixe Eingangswerte für den Business Case</t>
  </si>
  <si>
    <t>Eingangswerte</t>
  </si>
  <si>
    <t>Marktwerte und fixe Kalkulationsbasis</t>
  </si>
  <si>
    <t>Kundensicht</t>
  </si>
  <si>
    <t>Beschäftigte des öffentlichen Diensts als potenzielle Nutzende der DVC-Services</t>
  </si>
  <si>
    <t>Behörden der öffentlichen Hand als potenzielle Nutzende der DVC-Services</t>
  </si>
  <si>
    <t>Rahmendaten aus WiBe DVC</t>
  </si>
  <si>
    <t>Legende</t>
  </si>
  <si>
    <t>Wert</t>
  </si>
  <si>
    <t>Annahmeeingabe, kann zur Modifikation des Business Case Szenarios angepasst werden</t>
  </si>
  <si>
    <t>Service Preise je Organisation</t>
  </si>
  <si>
    <t xml:space="preserve">   S-Service</t>
  </si>
  <si>
    <t xml:space="preserve">   L-Service</t>
  </si>
  <si>
    <t>Bearbeitete Bestellungen (Neuverträge)</t>
  </si>
  <si>
    <t>Kalkulation mit Möglichkeit zur Szenariobildung durch Anpassung der Eingabefelder</t>
  </si>
  <si>
    <t>Kosten brutto in Tsd. € p.a. für 12 Monate Betrieb</t>
  </si>
  <si>
    <t>Inflationswert, in Betreiberangebot aktuell Annahme 4%</t>
  </si>
  <si>
    <t>Kündigungen, die im Jahresverlauf gültig werden</t>
  </si>
  <si>
    <t>Bestellungen auf dem CSP, 2025-2028 auf Basis Betreiberangebot</t>
  </si>
  <si>
    <t>Großkunden werden nach Nutzendenlizenzen abgerechnet</t>
  </si>
  <si>
    <t>Anzahl Landesbehörden als Kalkulationsbasis für Großkunden</t>
  </si>
  <si>
    <t>Ø Umsatz je Nutzer für Großkunden</t>
  </si>
  <si>
    <t>Standardkunden: Abrechnung je Organisation</t>
  </si>
  <si>
    <t>Verträge mit Großkunden</t>
  </si>
  <si>
    <t>Neuakquise</t>
  </si>
  <si>
    <t>Anzahl Lizenzen für einen Großkunden</t>
  </si>
  <si>
    <t>Standardkunden kaufen die Services und zahlen die S, M, L Preiswerte für ihre Organisation</t>
  </si>
  <si>
    <t>Verträge mit Standardkunden</t>
  </si>
  <si>
    <t>Neuakquise, in Summe mit Großkunden abhängig von WiBe Kalkulation</t>
  </si>
  <si>
    <t>Durchschnittlicher Vertragsbestand über das Jahr (Verträge beginnen gleichmäßig über die Monate verteilt)</t>
  </si>
  <si>
    <t>Umsätze</t>
  </si>
  <si>
    <t>Monatliche Umsätze</t>
  </si>
  <si>
    <t>Jährliche Umsätze</t>
  </si>
  <si>
    <t>Umsatz aller CS-Anbieter der DVC in einem Jahr</t>
  </si>
  <si>
    <t>Einnahmen durch Mitgliederbeiträge</t>
  </si>
  <si>
    <t>Zielzelle für Breakeven, adressierbar als Zelle "Gesamtergebnis2029"</t>
  </si>
  <si>
    <t>Kostenwerte entsprechen Kostenplanung FITKO</t>
  </si>
  <si>
    <t xml:space="preserve">   Behörden/Organisationen der Länder</t>
  </si>
  <si>
    <t xml:space="preserve">   Zielwert Marktdurchdringung 2029</t>
  </si>
  <si>
    <t xml:space="preserve">   Vertragsbestand Organisationen Jahresanfang</t>
  </si>
  <si>
    <t xml:space="preserve">   Zugang</t>
  </si>
  <si>
    <t xml:space="preserve">   Abgang</t>
  </si>
  <si>
    <t xml:space="preserve">   Vertragsbestand Jahresende</t>
  </si>
  <si>
    <t xml:space="preserve">   Ø Vertragsbestand Großkunden</t>
  </si>
  <si>
    <t xml:space="preserve">   Durschnittliche MA je Landesbehörde/-organisation</t>
  </si>
  <si>
    <t xml:space="preserve">   Anzahl Nutzende Großkunde</t>
  </si>
  <si>
    <t xml:space="preserve">   Ø Vertragsbestand Standard</t>
  </si>
  <si>
    <t xml:space="preserve">   Anteil S-Services</t>
  </si>
  <si>
    <t xml:space="preserve">   Anteil M-Services</t>
  </si>
  <si>
    <t xml:space="preserve">   Anteil L-Services</t>
  </si>
  <si>
    <t xml:space="preserve">   Bestellungen</t>
  </si>
  <si>
    <t xml:space="preserve">   Abgangsquote Bestandsverträge</t>
  </si>
  <si>
    <t>Benannter Eingangswert zur Nutzung im Business Case (Blatt Eingangswerte)</t>
  </si>
  <si>
    <t>Großkunden: Ø Umsatz je Nutzer im Monat</t>
  </si>
  <si>
    <t xml:space="preserve"> im Jahr 2025, danach +4% p.a.</t>
  </si>
  <si>
    <t>konstant</t>
  </si>
  <si>
    <t>Sensitivitätsanalyse</t>
  </si>
  <si>
    <t>DVC Service Pauschale in % der Kosten des Service</t>
  </si>
  <si>
    <t>Ergebnis DVC im Jahr 2029</t>
  </si>
  <si>
    <t>DVC Ergebnis im Jahr 2029 in Abhängigkeit von Großkundenumsatz je Nutzer und DVC Service Pauschale</t>
  </si>
  <si>
    <t>Bestimmung über Zielwertsuche möglich zur Kalkulation Break-Even in 2029 (Zielwert 0 für Zelle Gesamtergebnis2029). Änderung bevorzugt über Blatt Sensitivitätsanalyse.</t>
  </si>
  <si>
    <t>Kostenbasis für Großkunden (Abrechnung je Nutzer). Änderung bevorzugt über Blatt Sensitivitätsanalyse.</t>
  </si>
  <si>
    <t>Anbieter Umsatz Großkunden</t>
  </si>
  <si>
    <t>Anbieter Umsatz S-Services</t>
  </si>
  <si>
    <t>Anbieter Umsatz M-Services</t>
  </si>
  <si>
    <t>Anbieter Umsatz L-Services</t>
  </si>
  <si>
    <t>Dashboard</t>
  </si>
  <si>
    <t>Sensitivitäten</t>
  </si>
  <si>
    <t>Sensitivitätsanalyse für Rahmenparameter des Business Case</t>
  </si>
  <si>
    <t>Übersicht Ergebnisse Business Case</t>
  </si>
  <si>
    <t>Begleitende Berechnungen</t>
  </si>
  <si>
    <t>Finanzergebnis</t>
  </si>
  <si>
    <t xml:space="preserve">   Service Preise (S / M / L)</t>
  </si>
  <si>
    <t xml:space="preserve">   Anteil S / M / L Services</t>
  </si>
  <si>
    <t>Großkunden: Marktdurchdringung im Jahr 2029</t>
  </si>
  <si>
    <t>Analyse wichtiger Ergebnistreiber</t>
  </si>
  <si>
    <t>DVC Ergebnis im Jahr 2029 in Abhängigkeit von Marktdurchdringung Großkunden und DVC Service Pauschale</t>
  </si>
  <si>
    <t>Zentrale Parameter des Business Case</t>
  </si>
  <si>
    <t xml:space="preserve">   M-Service</t>
  </si>
  <si>
    <t xml:space="preserve">   Hochlaufkurve Vertragsbestand am Jahresende</t>
  </si>
  <si>
    <t>Anbieter Umsatz Standardkunden</t>
  </si>
  <si>
    <t>Anbieter Umsatz Gesamt</t>
  </si>
  <si>
    <t xml:space="preserve"> kumuliert</t>
  </si>
  <si>
    <t xml:space="preserve">Anteil Großkunden </t>
  </si>
  <si>
    <t>Kosteneinsparung Fachlicher &amp; Technischer Betrieb</t>
  </si>
  <si>
    <t xml:space="preserve">Gemäß Budgetplanung </t>
  </si>
  <si>
    <t>Dauerhafte Kosteneinsparung im Betrieb der DVC</t>
  </si>
  <si>
    <t>Kostensenkung im Betrieb ohne Gesamtbetriebssteuerung und Koordinierungsstelle</t>
  </si>
  <si>
    <t>Kündigungen aus dem Vertragsbestand am Jahresanfang</t>
  </si>
  <si>
    <t>Einnahmen durch Servicepauschale</t>
  </si>
  <si>
    <t>Einnahmen Servicepauschale</t>
  </si>
  <si>
    <t>Zuschuss FITKO-Stammbudget</t>
  </si>
  <si>
    <t>Einnahmen brutto &amp; Finanzierungsbedarf
 in Tsd. € p.a. für 12 Monate Betrieb</t>
  </si>
  <si>
    <t>Zuschuss aus FITKO-Stammbudget für Finanzierung Weiterentwicklung, Steuerung und Koordinierungsstelle</t>
  </si>
  <si>
    <t>Einnahmen &amp; Zuschuss FITKO-Stammbudget Gesamt</t>
  </si>
  <si>
    <t>Finanzierungsbedarf FITKO-Stammbudget</t>
  </si>
  <si>
    <t>Aus dem FITKO-Stammbudget aufzubringende Mittel</t>
  </si>
  <si>
    <t>Dauerhafte Kosteneinsparungen ggü. Budgetplanung im Betrieb der DVC</t>
  </si>
  <si>
    <t>Zuschuss FITKO-Stammbudget
(Weiterentwicklung, Steuerung, Koordinierungsstelle)</t>
  </si>
  <si>
    <t>Geplante Deckungslücke</t>
  </si>
  <si>
    <t>ab dem Jahr 2026</t>
  </si>
  <si>
    <t>im Jahr 2025</t>
  </si>
  <si>
    <t>bei Großkunden</t>
  </si>
  <si>
    <t>Bund: https://de.statista.com/statistik/daten/studie/1128113/umfrage/bundesbehoerden-in-deutschland-nach-behoerdenart/
Land: Hochrechnung auf Basis Behördenplan NRW: https://www.im.nrw/system/files/media/document/file/1906aufbaulandesverwaltung_0.pdf
Kommunen: https://www.destatis.de/DE/Themen/Laender-Regionen/Regionales/Gemeindeverzeichnis/Administrativ/Archiv/Verwaltungsgliederung/31122023_Jahr.html dort dort in der Excel-Datei Blatt 2, Summe aus Zellen P24:Q24</t>
  </si>
  <si>
    <t>Kosten eines S-Services bei Bezug für eine Organisation (kleine bis mittlere Behörde), drei Archetypen an Services</t>
  </si>
  <si>
    <t>Kosten eines M-Services bei Bezug für eine Organisation (kleine bis mittlere Behörde), drei Archetypen an Services</t>
  </si>
  <si>
    <t>Kosten eines L-Services bei Bezug für eine Organisation (kleine bis mittlere Behörde), drei Archetypen an Services</t>
  </si>
  <si>
    <t>Wie viele der potenziellen Großkunden (hier Kalkulationsbasis Landesbehörden) will die DVC durschnittlich abdecken. Änderung bevorzugt über Blatt Sensitivitätsanalyse.</t>
  </si>
  <si>
    <t>Verlauf der Hochlaufkurve zur Erreichung des Zielwertes der Marktdurchdringung</t>
  </si>
  <si>
    <t>Anteil der S-Services an der Gesamtmenge der hinzukommenden Verträge mit Standardkunden</t>
  </si>
  <si>
    <t>Anteil der M-Services an der Gesamtmenge der hinzukommenden Verträge mit Standardkunden</t>
  </si>
  <si>
    <t>Anteil der L-Services an der Gesamtmenge der hinzukommenden Verträge mit Standardkunden</t>
  </si>
  <si>
    <t>Einheit</t>
  </si>
  <si>
    <t>Für die weitere Kalkulation im Business Case nur die angenomme durchschnittliche Größe einer Landesbehörde (vgl. Zelle E37) berücksichtigt; die Bundesebene (und insbesondere die Bereiche Verteidigung sowie Auswärtige Angelegenheiten) sind nicht Teil der Eingangsgröße der Kalkulation.</t>
  </si>
  <si>
    <t>Informativ aus Blatt Eingangswerte (vgl. Zelle E37); für die weitere Kalkulation im Business Case nur die angenomme durchschnittliche Größe einer Landesbehördeberücksichtigt; die Bundesebene (und insbesondere die Bereiche Verteidigung sowie Auswärtige Angelegenheiten) sind nicht Teil der Eingangsgröße der Kalkulation.</t>
  </si>
  <si>
    <t>Jahr 2025</t>
  </si>
  <si>
    <t>Jahr 2026</t>
  </si>
  <si>
    <t>Jahr 2027</t>
  </si>
  <si>
    <t>Jahr 2028</t>
  </si>
  <si>
    <t>Jahr 2029</t>
  </si>
  <si>
    <t>Jahr 2030</t>
  </si>
  <si>
    <t>Referenz DVC Budget</t>
  </si>
  <si>
    <t>Sozialver-sicherung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</si>
</sst>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&quot;€&quot;"/>
    <numFmt numFmtId="165" formatCode="#,##0,"/>
    <numFmt numFmtId="166" formatCode="_-* #,##0_-;\-* #,##0_-;_-* &quot;-&quot;??_-;_-@_-"/>
    <numFmt numFmtId="167" formatCode="0.0%"/>
    <numFmt numFmtId="168" formatCode="#,##0.0,,\ &quot;Mio. €&quot;"/>
    <numFmt numFmtId="169" formatCode="#,##0.00,,\ &quot;Mio. €&quot;"/>
  </numFmts>
  <fonts count="25" x14ac:knownFonts="1">
    <font>
      <sz val="10"/>
      <color theme="1"/>
      <name val="Arial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Open Sans"/>
      <family val="2"/>
    </font>
    <font>
      <sz val="10"/>
      <color theme="1"/>
      <name val="Arial"/>
      <family val="2"/>
    </font>
    <font>
      <b/>
      <sz val="10"/>
      <color theme="1"/>
      <name val="Open Sans"/>
      <family val="2"/>
    </font>
    <font>
      <sz val="10"/>
      <color theme="1"/>
      <name val="Arial"/>
      <family val="2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Open Sans"/>
      <family val="2"/>
    </font>
    <font>
      <b/>
      <sz val="10"/>
      <color theme="0"/>
      <name val="Open Sans"/>
      <family val="2"/>
    </font>
    <font>
      <sz val="10"/>
      <color theme="1"/>
      <name val="Open Sans"/>
      <family val="2"/>
    </font>
    <font>
      <sz val="10"/>
      <color theme="0"/>
      <name val="Open Sans"/>
      <family val="2"/>
    </font>
    <font>
      <u/>
      <sz val="10"/>
      <color theme="10"/>
      <name val="Open Sans"/>
      <family val="2"/>
    </font>
    <font>
      <b/>
      <sz val="11"/>
      <color rgb="FF3F3F3F"/>
      <name val="Open Sans"/>
      <family val="2"/>
    </font>
    <font>
      <b/>
      <sz val="10"/>
      <name val="Open Sans"/>
      <family val="2"/>
    </font>
    <font>
      <sz val="10"/>
      <name val="Open Sans"/>
      <family val="2"/>
    </font>
    <font>
      <sz val="11"/>
      <color rgb="FF3F3F76"/>
      <name val="Open Sans"/>
      <family val="2"/>
    </font>
    <font>
      <sz val="11"/>
      <color theme="1"/>
      <name val="Open Sans"/>
      <family val="2"/>
    </font>
    <font>
      <sz val="8"/>
      <name val="Arial"/>
      <family val="2"/>
    </font>
    <font>
      <sz val="8"/>
      <name val="Arial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0" fontId="1" fillId="0" borderId="0" applyNumberFormat="0" applyFill="0" applyBorder="0" applyProtection="0"/>
    <xf numFmtId="0" fontId="2" fillId="0" borderId="0" applyNumberFormat="0" applyFill="0" applyBorder="0" applyProtection="0"/>
    <xf numFmtId="0" fontId="3" fillId="0" borderId="0"/>
    <xf numFmtId="0" fontId="4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0" fillId="2" borderId="7" applyNumberFormat="0" applyAlignment="0" applyProtection="0"/>
    <xf numFmtId="0" fontId="11" fillId="4" borderId="8" applyNumberFormat="0" applyAlignment="0" applyProtection="0"/>
    <xf numFmtId="0" fontId="12" fillId="0" borderId="9" applyNumberFormat="0" applyFill="0" applyAlignment="0" applyProtection="0"/>
  </cellStyleXfs>
  <cellXfs count="110">
    <xf numFmtId="0" fontId="0" fillId="0" borderId="0" xfId="0"/>
    <xf numFmtId="0" fontId="0" fillId="3" borderId="0" xfId="0" applyFill="1"/>
    <xf numFmtId="3" fontId="0" fillId="3" borderId="0" xfId="0" applyNumberFormat="1" applyFill="1"/>
    <xf numFmtId="0" fontId="0" fillId="3" borderId="0" xfId="0" applyFill="1" applyAlignment="1">
      <alignment wrapText="1"/>
    </xf>
    <xf numFmtId="0" fontId="6" fillId="3" borderId="0" xfId="0" applyFont="1" applyFill="1"/>
    <xf numFmtId="9" fontId="6" fillId="3" borderId="0" xfId="0" applyNumberFormat="1" applyFont="1" applyFill="1"/>
    <xf numFmtId="3" fontId="6" fillId="3" borderId="0" xfId="0" applyNumberFormat="1" applyFont="1" applyFill="1"/>
    <xf numFmtId="0" fontId="8" fillId="3" borderId="0" xfId="0" applyFont="1" applyFill="1"/>
    <xf numFmtId="4" fontId="6" fillId="3" borderId="0" xfId="0" applyNumberFormat="1" applyFont="1" applyFill="1"/>
    <xf numFmtId="0" fontId="6" fillId="3" borderId="0" xfId="0" quotePrefix="1" applyFont="1" applyFill="1"/>
    <xf numFmtId="0" fontId="5" fillId="3" borderId="0" xfId="0" applyFont="1" applyFill="1" applyAlignment="1">
      <alignment horizontal="left"/>
    </xf>
    <xf numFmtId="0" fontId="6" fillId="6" borderId="0" xfId="0" applyFont="1" applyFill="1"/>
    <xf numFmtId="0" fontId="13" fillId="6" borderId="0" xfId="0" applyFont="1" applyFill="1"/>
    <xf numFmtId="164" fontId="6" fillId="3" borderId="10" xfId="0" applyNumberFormat="1" applyFont="1" applyFill="1" applyBorder="1"/>
    <xf numFmtId="167" fontId="6" fillId="3" borderId="10" xfId="0" applyNumberFormat="1" applyFont="1" applyFill="1" applyBorder="1"/>
    <xf numFmtId="168" fontId="6" fillId="3" borderId="0" xfId="0" applyNumberFormat="1" applyFont="1" applyFill="1"/>
    <xf numFmtId="168" fontId="6" fillId="3" borderId="3" xfId="0" applyNumberFormat="1" applyFont="1" applyFill="1" applyBorder="1"/>
    <xf numFmtId="10" fontId="6" fillId="3" borderId="1" xfId="0" applyNumberFormat="1" applyFont="1" applyFill="1" applyBorder="1"/>
    <xf numFmtId="164" fontId="6" fillId="3" borderId="11" xfId="0" applyNumberFormat="1" applyFont="1" applyFill="1" applyBorder="1"/>
    <xf numFmtId="0" fontId="15" fillId="3" borderId="0" xfId="0" applyFont="1" applyFill="1"/>
    <xf numFmtId="3" fontId="13" fillId="6" borderId="0" xfId="0" applyNumberFormat="1" applyFont="1" applyFill="1"/>
    <xf numFmtId="0" fontId="15" fillId="6" borderId="0" xfId="0" applyFont="1" applyFill="1"/>
    <xf numFmtId="0" fontId="15" fillId="6" borderId="0" xfId="0" applyFont="1" applyFill="1" applyAlignment="1">
      <alignment wrapText="1"/>
    </xf>
    <xf numFmtId="0" fontId="13" fillId="7" borderId="0" xfId="0" applyFont="1" applyFill="1"/>
    <xf numFmtId="3" fontId="15" fillId="7" borderId="0" xfId="0" applyNumberFormat="1" applyFont="1" applyFill="1"/>
    <xf numFmtId="0" fontId="15" fillId="7" borderId="0" xfId="0" applyFont="1" applyFill="1"/>
    <xf numFmtId="0" fontId="13" fillId="7" borderId="0" xfId="0" applyFont="1" applyFill="1" applyAlignment="1">
      <alignment wrapText="1"/>
    </xf>
    <xf numFmtId="0" fontId="13" fillId="3" borderId="0" xfId="0" applyFont="1" applyFill="1"/>
    <xf numFmtId="3" fontId="13" fillId="3" borderId="0" xfId="0" applyNumberFormat="1" applyFont="1" applyFill="1"/>
    <xf numFmtId="0" fontId="15" fillId="3" borderId="0" xfId="0" applyFont="1" applyFill="1" applyAlignment="1">
      <alignment wrapText="1"/>
    </xf>
    <xf numFmtId="0" fontId="13" fillId="3" borderId="0" xfId="0" applyFont="1" applyFill="1" applyAlignment="1">
      <alignment vertical="center" wrapText="1"/>
    </xf>
    <xf numFmtId="3" fontId="13" fillId="3" borderId="0" xfId="0" applyNumberFormat="1" applyFont="1" applyFill="1" applyAlignment="1">
      <alignment vertical="center" wrapText="1"/>
    </xf>
    <xf numFmtId="0" fontId="15" fillId="3" borderId="0" xfId="0" applyFont="1" applyFill="1" applyAlignment="1">
      <alignment vertical="center" wrapText="1"/>
    </xf>
    <xf numFmtId="3" fontId="15" fillId="3" borderId="0" xfId="0" applyNumberFormat="1" applyFont="1" applyFill="1" applyAlignment="1">
      <alignment vertical="center" wrapText="1"/>
    </xf>
    <xf numFmtId="3" fontId="15" fillId="3" borderId="0" xfId="0" applyNumberFormat="1" applyFont="1" applyFill="1"/>
    <xf numFmtId="3" fontId="13" fillId="7" borderId="0" xfId="0" applyNumberFormat="1" applyFont="1" applyFill="1"/>
    <xf numFmtId="0" fontId="15" fillId="3" borderId="0" xfId="0" applyFont="1" applyFill="1" applyAlignment="1">
      <alignment vertical="top"/>
    </xf>
    <xf numFmtId="3" fontId="15" fillId="3" borderId="0" xfId="0" applyNumberFormat="1" applyFont="1" applyFill="1" applyAlignment="1">
      <alignment vertical="top"/>
    </xf>
    <xf numFmtId="3" fontId="15" fillId="0" borderId="0" xfId="0" applyNumberFormat="1" applyFont="1" applyAlignment="1">
      <alignment vertical="top"/>
    </xf>
    <xf numFmtId="3" fontId="18" fillId="4" borderId="8" xfId="9" applyNumberFormat="1" applyFont="1"/>
    <xf numFmtId="0" fontId="19" fillId="6" borderId="0" xfId="0" applyFont="1" applyFill="1"/>
    <xf numFmtId="3" fontId="20" fillId="6" borderId="0" xfId="0" applyNumberFormat="1" applyFont="1" applyFill="1"/>
    <xf numFmtId="0" fontId="20" fillId="6" borderId="0" xfId="0" applyFont="1" applyFill="1"/>
    <xf numFmtId="0" fontId="20" fillId="6" borderId="0" xfId="0" applyFont="1" applyFill="1" applyAlignment="1">
      <alignment wrapText="1"/>
    </xf>
    <xf numFmtId="0" fontId="18" fillId="4" borderId="8" xfId="9" applyFont="1"/>
    <xf numFmtId="0" fontId="17" fillId="6" borderId="0" xfId="1" applyFont="1" applyFill="1"/>
    <xf numFmtId="0" fontId="21" fillId="2" borderId="7" xfId="8" applyFont="1"/>
    <xf numFmtId="0" fontId="8" fillId="3" borderId="1" xfId="0" applyFont="1" applyFill="1" applyBorder="1"/>
    <xf numFmtId="169" fontId="6" fillId="3" borderId="0" xfId="0" applyNumberFormat="1" applyFont="1" applyFill="1"/>
    <xf numFmtId="9" fontId="6" fillId="3" borderId="0" xfId="0" applyNumberFormat="1" applyFont="1" applyFill="1" applyAlignment="1">
      <alignment horizontal="right"/>
    </xf>
    <xf numFmtId="167" fontId="6" fillId="3" borderId="0" xfId="6" applyNumberFormat="1" applyFont="1" applyFill="1"/>
    <xf numFmtId="9" fontId="6" fillId="3" borderId="10" xfId="0" applyNumberFormat="1" applyFont="1" applyFill="1" applyBorder="1"/>
    <xf numFmtId="9" fontId="6" fillId="3" borderId="11" xfId="0" applyNumberFormat="1" applyFont="1" applyFill="1" applyBorder="1"/>
    <xf numFmtId="0" fontId="8" fillId="6" borderId="0" xfId="0" applyFont="1" applyFill="1"/>
    <xf numFmtId="168" fontId="6" fillId="3" borderId="4" xfId="0" applyNumberFormat="1" applyFont="1" applyFill="1" applyBorder="1"/>
    <xf numFmtId="0" fontId="6" fillId="3" borderId="0" xfId="0" applyFont="1" applyFill="1" applyAlignment="1">
      <alignment horizontal="left" indent="1"/>
    </xf>
    <xf numFmtId="9" fontId="6" fillId="3" borderId="0" xfId="6" applyFont="1" applyFill="1"/>
    <xf numFmtId="0" fontId="6" fillId="3" borderId="0" xfId="0" applyFont="1" applyFill="1" applyAlignment="1">
      <alignment wrapText="1"/>
    </xf>
    <xf numFmtId="3" fontId="6" fillId="3" borderId="0" xfId="0" applyNumberFormat="1" applyFont="1" applyFill="1" applyAlignment="1">
      <alignment vertical="top"/>
    </xf>
    <xf numFmtId="2" fontId="1" fillId="3" borderId="0" xfId="1" applyNumberFormat="1" applyFill="1" applyBorder="1"/>
    <xf numFmtId="167" fontId="21" fillId="2" borderId="7" xfId="8" applyNumberFormat="1" applyFont="1" applyAlignment="1">
      <alignment vertical="top"/>
    </xf>
    <xf numFmtId="9" fontId="21" fillId="2" borderId="7" xfId="8" applyNumberFormat="1" applyFont="1" applyAlignment="1">
      <alignment vertical="top"/>
    </xf>
    <xf numFmtId="0" fontId="6" fillId="3" borderId="0" xfId="0" applyFont="1" applyFill="1" applyAlignment="1">
      <alignment vertical="top" wrapText="1"/>
    </xf>
    <xf numFmtId="0" fontId="6" fillId="3" borderId="0" xfId="0" applyFont="1" applyFill="1" applyAlignment="1">
      <alignment vertical="top"/>
    </xf>
    <xf numFmtId="167" fontId="6" fillId="3" borderId="0" xfId="0" applyNumberFormat="1" applyFont="1" applyFill="1" applyAlignment="1">
      <alignment vertical="top"/>
    </xf>
    <xf numFmtId="0" fontId="8" fillId="6" borderId="1" xfId="0" applyFont="1" applyFill="1" applyBorder="1" applyAlignment="1">
      <alignment vertical="top"/>
    </xf>
    <xf numFmtId="0" fontId="8" fillId="6" borderId="1" xfId="0" applyFont="1" applyFill="1" applyBorder="1" applyAlignment="1">
      <alignment vertical="top" wrapText="1"/>
    </xf>
    <xf numFmtId="9" fontId="6" fillId="3" borderId="0" xfId="0" applyNumberFormat="1" applyFont="1" applyFill="1" applyAlignment="1">
      <alignment vertical="top"/>
    </xf>
    <xf numFmtId="0" fontId="8" fillId="3" borderId="0" xfId="0" applyFont="1" applyFill="1" applyAlignment="1">
      <alignment vertical="top"/>
    </xf>
    <xf numFmtId="44" fontId="6" fillId="3" borderId="0" xfId="7" applyFont="1" applyFill="1" applyAlignment="1">
      <alignment vertical="top"/>
    </xf>
    <xf numFmtId="3" fontId="21" fillId="2" borderId="7" xfId="8" applyNumberFormat="1" applyFont="1" applyAlignment="1">
      <alignment vertical="top"/>
    </xf>
    <xf numFmtId="1" fontId="6" fillId="3" borderId="0" xfId="0" applyNumberFormat="1" applyFont="1" applyFill="1" applyAlignment="1">
      <alignment vertical="top"/>
    </xf>
    <xf numFmtId="4" fontId="21" fillId="2" borderId="7" xfId="8" applyNumberFormat="1" applyFont="1" applyAlignment="1">
      <alignment vertical="top"/>
    </xf>
    <xf numFmtId="2" fontId="6" fillId="3" borderId="0" xfId="0" applyNumberFormat="1" applyFont="1" applyFill="1" applyAlignment="1">
      <alignment vertical="top"/>
    </xf>
    <xf numFmtId="44" fontId="6" fillId="3" borderId="0" xfId="0" applyNumberFormat="1" applyFont="1" applyFill="1" applyAlignment="1">
      <alignment vertical="top"/>
    </xf>
    <xf numFmtId="0" fontId="21" fillId="2" borderId="7" xfId="8" applyFont="1" applyAlignment="1">
      <alignment vertical="top"/>
    </xf>
    <xf numFmtId="9" fontId="6" fillId="3" borderId="0" xfId="6" applyFont="1" applyFill="1" applyAlignment="1">
      <alignment vertical="top"/>
    </xf>
    <xf numFmtId="166" fontId="6" fillId="3" borderId="0" xfId="5" applyNumberFormat="1" applyFont="1" applyFill="1" applyAlignment="1">
      <alignment vertical="top"/>
    </xf>
    <xf numFmtId="167" fontId="20" fillId="3" borderId="0" xfId="8" applyNumberFormat="1" applyFont="1" applyFill="1" applyBorder="1" applyAlignment="1">
      <alignment vertical="top"/>
    </xf>
    <xf numFmtId="3" fontId="6" fillId="3" borderId="0" xfId="5" applyNumberFormat="1" applyFont="1" applyFill="1" applyAlignment="1">
      <alignment vertical="top"/>
    </xf>
    <xf numFmtId="0" fontId="6" fillId="3" borderId="0" xfId="0" quotePrefix="1" applyFont="1" applyFill="1" applyAlignment="1">
      <alignment vertical="top"/>
    </xf>
    <xf numFmtId="3" fontId="6" fillId="3" borderId="0" xfId="0" applyNumberFormat="1" applyFont="1" applyFill="1" applyAlignment="1">
      <alignment horizontal="right" vertical="top"/>
    </xf>
    <xf numFmtId="3" fontId="22" fillId="3" borderId="9" xfId="10" applyNumberFormat="1" applyFont="1" applyFill="1" applyAlignment="1">
      <alignment vertical="top"/>
    </xf>
    <xf numFmtId="165" fontId="6" fillId="3" borderId="0" xfId="0" applyNumberFormat="1" applyFont="1" applyFill="1" applyAlignment="1">
      <alignment vertical="top"/>
    </xf>
    <xf numFmtId="0" fontId="6" fillId="3" borderId="4" xfId="0" applyFont="1" applyFill="1" applyBorder="1" applyAlignment="1">
      <alignment vertical="top"/>
    </xf>
    <xf numFmtId="165" fontId="6" fillId="3" borderId="4" xfId="0" applyNumberFormat="1" applyFont="1" applyFill="1" applyBorder="1" applyAlignment="1">
      <alignment vertical="top"/>
    </xf>
    <xf numFmtId="0" fontId="6" fillId="3" borderId="5" xfId="0" applyFont="1" applyFill="1" applyBorder="1" applyAlignment="1">
      <alignment vertical="top"/>
    </xf>
    <xf numFmtId="165" fontId="6" fillId="3" borderId="5" xfId="0" applyNumberFormat="1" applyFont="1" applyFill="1" applyBorder="1" applyAlignment="1">
      <alignment vertical="top"/>
    </xf>
    <xf numFmtId="0" fontId="6" fillId="3" borderId="0" xfId="0" applyFont="1" applyFill="1" applyAlignment="1">
      <alignment horizontal="left" vertical="top"/>
    </xf>
    <xf numFmtId="0" fontId="6" fillId="3" borderId="2" xfId="0" applyFont="1" applyFill="1" applyBorder="1" applyAlignment="1">
      <alignment vertical="top"/>
    </xf>
    <xf numFmtId="165" fontId="6" fillId="3" borderId="2" xfId="0" applyNumberFormat="1" applyFont="1" applyFill="1" applyBorder="1" applyAlignment="1">
      <alignment vertical="top"/>
    </xf>
    <xf numFmtId="0" fontId="6" fillId="3" borderId="6" xfId="0" applyFont="1" applyFill="1" applyBorder="1" applyAlignment="1">
      <alignment vertical="top"/>
    </xf>
    <xf numFmtId="165" fontId="6" fillId="3" borderId="6" xfId="0" applyNumberFormat="1" applyFont="1" applyFill="1" applyBorder="1" applyAlignment="1">
      <alignment vertical="top"/>
    </xf>
    <xf numFmtId="0" fontId="14" fillId="5" borderId="0" xfId="0" applyFont="1" applyFill="1" applyAlignment="1">
      <alignment vertical="top"/>
    </xf>
    <xf numFmtId="0" fontId="16" fillId="5" borderId="0" xfId="0" applyFont="1" applyFill="1" applyAlignment="1">
      <alignment horizontal="left" vertical="top"/>
    </xf>
    <xf numFmtId="0" fontId="16" fillId="5" borderId="0" xfId="0" applyFont="1" applyFill="1" applyAlignment="1">
      <alignment horizontal="left"/>
    </xf>
    <xf numFmtId="0" fontId="14" fillId="5" borderId="0" xfId="0" applyFont="1" applyFill="1"/>
    <xf numFmtId="0" fontId="14" fillId="5" borderId="0" xfId="0" applyFont="1" applyFill="1" applyAlignment="1">
      <alignment horizontal="left"/>
    </xf>
    <xf numFmtId="0" fontId="8" fillId="7" borderId="1" xfId="0" applyFont="1" applyFill="1" applyBorder="1" applyAlignment="1">
      <alignment vertical="top"/>
    </xf>
    <xf numFmtId="0" fontId="6" fillId="7" borderId="1" xfId="0" applyFont="1" applyFill="1" applyBorder="1" applyAlignment="1">
      <alignment vertical="top" wrapText="1"/>
    </xf>
    <xf numFmtId="165" fontId="8" fillId="8" borderId="10" xfId="0" applyNumberFormat="1" applyFont="1" applyFill="1" applyBorder="1" applyAlignment="1">
      <alignment vertical="top"/>
    </xf>
    <xf numFmtId="0" fontId="8" fillId="6" borderId="1" xfId="0" applyFont="1" applyFill="1" applyBorder="1" applyAlignment="1">
      <alignment horizontal="center" vertical="top" wrapText="1"/>
    </xf>
    <xf numFmtId="0" fontId="8" fillId="7" borderId="1" xfId="0" applyFont="1" applyFill="1" applyBorder="1" applyAlignment="1">
      <alignment horizontal="center" vertical="top" wrapText="1"/>
    </xf>
    <xf numFmtId="0" fontId="15" fillId="7" borderId="0" xfId="0" applyFont="1" applyFill="1" applyAlignment="1">
      <alignment wrapText="1"/>
    </xf>
    <xf numFmtId="0" fontId="6" fillId="7" borderId="0" xfId="0" applyFont="1" applyFill="1" applyAlignment="1">
      <alignment horizontal="center" wrapText="1"/>
    </xf>
    <xf numFmtId="0" fontId="7" fillId="0" borderId="0" xfId="0" applyFont="1" applyAlignment="1">
      <alignment vertical="top" wrapText="1"/>
    </xf>
    <xf numFmtId="3" fontId="13" fillId="3" borderId="0" xfId="0" applyNumberFormat="1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wrapText="1"/>
    </xf>
    <xf numFmtId="0" fontId="16" fillId="0" borderId="0" xfId="0" applyFont="1" applyFill="1" applyAlignment="1">
      <alignment horizontal="left" vertical="top"/>
    </xf>
  </cellXfs>
  <cellStyles count="11">
    <cellStyle name="Ausgabe" xfId="9" builtinId="21"/>
    <cellStyle name="Eingabe" xfId="8" builtinId="20"/>
    <cellStyle name="Ergebnis" xfId="10" builtinId="25"/>
    <cellStyle name="Komma" xfId="5" builtinId="3"/>
    <cellStyle name="Link" xfId="1" builtinId="8"/>
    <cellStyle name="Link 2" xfId="2" xr:uid="{00000000-0005-0000-0000-000001000000}"/>
    <cellStyle name="Prozent" xfId="6" builtinId="5"/>
    <cellStyle name="Standard" xfId="0" builtinId="0"/>
    <cellStyle name="Standard 2" xfId="3" xr:uid="{00000000-0005-0000-0000-000003000000}"/>
    <cellStyle name="Standard 3" xfId="4" xr:uid="{00000000-0005-0000-0000-000004000000}"/>
    <cellStyle name="Währung" xfId="7" builtinId="4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de-DE" b="1"/>
              <a:t>Umsatz Anbieter &amp; DVC Vertragbestand</a:t>
            </a:r>
          </a:p>
        </c:rich>
      </c:tx>
      <c:layout>
        <c:manualLayout>
          <c:xMode val="edge"/>
          <c:yMode val="edge"/>
          <c:x val="0.31694989432239545"/>
          <c:y val="1.84119771258781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spc="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3592804024496938"/>
          <c:y val="0.17171296296296296"/>
          <c:w val="0.7797410323709536"/>
          <c:h val="0.72088764946048411"/>
        </c:manualLayout>
      </c:layout>
      <c:barChart>
        <c:barDir val="col"/>
        <c:grouping val="stacked"/>
        <c:varyColors val="0"/>
        <c:ser>
          <c:idx val="0"/>
          <c:order val="0"/>
          <c:tx>
            <c:v>Anbieter Umsatz Großkunden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6"/>
              <c:pt idx="0">
                <c:v>2025</c:v>
              </c:pt>
              <c:pt idx="1">
                <c:v>2026</c:v>
              </c:pt>
              <c:pt idx="2">
                <c:v>2027</c:v>
              </c:pt>
              <c:pt idx="3">
                <c:v>2028</c:v>
              </c:pt>
              <c:pt idx="4">
                <c:v>2029</c:v>
              </c:pt>
              <c:pt idx="5">
                <c:v>2030</c:v>
              </c:pt>
            </c:numLit>
          </c:cat>
          <c:val>
            <c:numLit>
              <c:formatCode>General</c:formatCode>
              <c:ptCount val="6"/>
              <c:pt idx="0">
                <c:v>511238.11581676756</c:v>
              </c:pt>
              <c:pt idx="1">
                <c:v>9145027.4157303385</c:v>
              </c:pt>
              <c:pt idx="2">
                <c:v>29196031.712359555</c:v>
              </c:pt>
              <c:pt idx="3">
                <c:v>56012144.476044968</c:v>
              </c:pt>
              <c:pt idx="4">
                <c:v>84807217.352888107</c:v>
              </c:pt>
              <c:pt idx="5">
                <c:v>100763892.66300839</c:v>
              </c:pt>
            </c:numLit>
          </c:val>
          <c:extLst>
            <c:ext xmlns:c16="http://schemas.microsoft.com/office/drawing/2014/chart" uri="{C3380CC4-5D6E-409C-BE32-E72D297353CC}">
              <c16:uniqueId val="{00000000-0D7D-4C45-9201-62C10289C76C}"/>
            </c:ext>
          </c:extLst>
        </c:ser>
        <c:ser>
          <c:idx val="1"/>
          <c:order val="1"/>
          <c:tx>
            <c:v>Anbieter Umsatz S-Services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6"/>
              <c:pt idx="0">
                <c:v>2025</c:v>
              </c:pt>
              <c:pt idx="1">
                <c:v>2026</c:v>
              </c:pt>
              <c:pt idx="2">
                <c:v>2027</c:v>
              </c:pt>
              <c:pt idx="3">
                <c:v>2028</c:v>
              </c:pt>
              <c:pt idx="4">
                <c:v>2029</c:v>
              </c:pt>
              <c:pt idx="5">
                <c:v>2030</c:v>
              </c:pt>
            </c:numLit>
          </c:cat>
          <c:val>
            <c:numLit>
              <c:formatCode>General</c:formatCode>
              <c:ptCount val="6"/>
              <c:pt idx="0">
                <c:v>2520</c:v>
              </c:pt>
              <c:pt idx="1">
                <c:v>16773.12</c:v>
              </c:pt>
              <c:pt idx="2">
                <c:v>103574.01600000002</c:v>
              </c:pt>
              <c:pt idx="3">
                <c:v>379277.14406400011</c:v>
              </c:pt>
              <c:pt idx="4">
                <c:v>783589.98122496018</c:v>
              </c:pt>
              <c:pt idx="5">
                <c:v>1239876.3730010116</c:v>
              </c:pt>
            </c:numLit>
          </c:val>
          <c:extLst>
            <c:ext xmlns:c16="http://schemas.microsoft.com/office/drawing/2014/chart" uri="{C3380CC4-5D6E-409C-BE32-E72D297353CC}">
              <c16:uniqueId val="{00000001-0D7D-4C45-9201-62C10289C76C}"/>
            </c:ext>
          </c:extLst>
        </c:ser>
        <c:ser>
          <c:idx val="2"/>
          <c:order val="2"/>
          <c:tx>
            <c:v>Anbieter Umsatz M-Services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6"/>
              <c:pt idx="0">
                <c:v>2025</c:v>
              </c:pt>
              <c:pt idx="1">
                <c:v>2026</c:v>
              </c:pt>
              <c:pt idx="2">
                <c:v>2027</c:v>
              </c:pt>
              <c:pt idx="3">
                <c:v>2028</c:v>
              </c:pt>
              <c:pt idx="4">
                <c:v>2029</c:v>
              </c:pt>
              <c:pt idx="5">
                <c:v>2030</c:v>
              </c:pt>
            </c:numLit>
          </c:cat>
          <c:val>
            <c:numLit>
              <c:formatCode>General</c:formatCode>
              <c:ptCount val="6"/>
              <c:pt idx="0">
                <c:v>7200</c:v>
              </c:pt>
              <c:pt idx="1">
                <c:v>47923.200000000004</c:v>
              </c:pt>
              <c:pt idx="2">
                <c:v>295925.76000000001</c:v>
              </c:pt>
              <c:pt idx="3">
                <c:v>1083648.9830400001</c:v>
              </c:pt>
              <c:pt idx="4">
                <c:v>2238828.5177856004</c:v>
              </c:pt>
              <c:pt idx="5">
                <c:v>3542503.9228600329</c:v>
              </c:pt>
            </c:numLit>
          </c:val>
          <c:extLst>
            <c:ext xmlns:c16="http://schemas.microsoft.com/office/drawing/2014/chart" uri="{C3380CC4-5D6E-409C-BE32-E72D297353CC}">
              <c16:uniqueId val="{00000002-0D7D-4C45-9201-62C10289C76C}"/>
            </c:ext>
          </c:extLst>
        </c:ser>
        <c:ser>
          <c:idx val="3"/>
          <c:order val="3"/>
          <c:tx>
            <c:v>Anbieter Umsatz L-Services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6"/>
              <c:pt idx="0">
                <c:v>2025</c:v>
              </c:pt>
              <c:pt idx="1">
                <c:v>2026</c:v>
              </c:pt>
              <c:pt idx="2">
                <c:v>2027</c:v>
              </c:pt>
              <c:pt idx="3">
                <c:v>2028</c:v>
              </c:pt>
              <c:pt idx="4">
                <c:v>2029</c:v>
              </c:pt>
              <c:pt idx="5">
                <c:v>2030</c:v>
              </c:pt>
            </c:numLit>
          </c:cat>
          <c:val>
            <c:numLit>
              <c:formatCode>General</c:formatCode>
              <c:ptCount val="6"/>
              <c:pt idx="0">
                <c:v>21000</c:v>
              </c:pt>
              <c:pt idx="1">
                <c:v>139776</c:v>
              </c:pt>
              <c:pt idx="2">
                <c:v>863116.79999999993</c:v>
              </c:pt>
              <c:pt idx="3">
                <c:v>3160642.8672000002</c:v>
              </c:pt>
              <c:pt idx="4">
                <c:v>6529916.5102080004</c:v>
              </c:pt>
              <c:pt idx="5">
                <c:v>10332303.108341761</c:v>
              </c:pt>
            </c:numLit>
          </c:val>
          <c:extLst>
            <c:ext xmlns:c16="http://schemas.microsoft.com/office/drawing/2014/chart" uri="{C3380CC4-5D6E-409C-BE32-E72D297353CC}">
              <c16:uniqueId val="{00000003-0D7D-4C45-9201-62C10289C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58476832"/>
        <c:axId val="2057123024"/>
      </c:barChart>
      <c:lineChart>
        <c:grouping val="standard"/>
        <c:varyColors val="0"/>
        <c:ser>
          <c:idx val="4"/>
          <c:order val="4"/>
          <c:tx>
            <c:v>Ø Vertragsbestand Großkunden</c:v>
          </c:tx>
          <c:spPr>
            <a:ln w="28575" cap="rnd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6"/>
              <c:pt idx="0">
                <c:v>2025</c:v>
              </c:pt>
              <c:pt idx="1">
                <c:v>2026</c:v>
              </c:pt>
              <c:pt idx="2">
                <c:v>2027</c:v>
              </c:pt>
              <c:pt idx="3">
                <c:v>2028</c:v>
              </c:pt>
              <c:pt idx="4">
                <c:v>2029</c:v>
              </c:pt>
              <c:pt idx="5">
                <c:v>2030</c:v>
              </c:pt>
            </c:numLit>
          </c:cat>
          <c:val>
            <c:numLit>
              <c:formatCode>General</c:formatCode>
              <c:ptCount val="6"/>
              <c:pt idx="0">
                <c:v>2.5</c:v>
              </c:pt>
              <c:pt idx="1">
                <c:v>43</c:v>
              </c:pt>
              <c:pt idx="2">
                <c:v>132</c:v>
              </c:pt>
              <c:pt idx="3">
                <c:v>243.5</c:v>
              </c:pt>
              <c:pt idx="4">
                <c:v>354.5</c:v>
              </c:pt>
              <c:pt idx="5">
                <c:v>405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0D7D-4C45-9201-62C10289C76C}"/>
            </c:ext>
          </c:extLst>
        </c:ser>
        <c:ser>
          <c:idx val="5"/>
          <c:order val="5"/>
          <c:tx>
            <c:v>Ø Vertragsbestand Standard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6"/>
              <c:pt idx="0">
                <c:v>2025</c:v>
              </c:pt>
              <c:pt idx="1">
                <c:v>2026</c:v>
              </c:pt>
              <c:pt idx="2">
                <c:v>2027</c:v>
              </c:pt>
              <c:pt idx="3">
                <c:v>2028</c:v>
              </c:pt>
              <c:pt idx="4">
                <c:v>2029</c:v>
              </c:pt>
              <c:pt idx="5">
                <c:v>2030</c:v>
              </c:pt>
            </c:numLit>
          </c:cat>
          <c:val>
            <c:numLit>
              <c:formatCode>General</c:formatCode>
              <c:ptCount val="6"/>
              <c:pt idx="0">
                <c:v>2.5</c:v>
              </c:pt>
              <c:pt idx="1">
                <c:v>16</c:v>
              </c:pt>
              <c:pt idx="2">
                <c:v>95</c:v>
              </c:pt>
              <c:pt idx="3">
                <c:v>334.5</c:v>
              </c:pt>
              <c:pt idx="4">
                <c:v>664.5</c:v>
              </c:pt>
              <c:pt idx="5">
                <c:v>1011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D7D-4C45-9201-62C10289C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8475872"/>
        <c:axId val="2058475392"/>
      </c:lineChart>
      <c:catAx>
        <c:axId val="205847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de-DE"/>
          </a:p>
        </c:txPr>
        <c:crossAx val="2057123024"/>
        <c:crosses val="autoZero"/>
        <c:auto val="1"/>
        <c:lblAlgn val="ctr"/>
        <c:lblOffset val="100"/>
        <c:noMultiLvlLbl val="0"/>
      </c:catAx>
      <c:valAx>
        <c:axId val="2057123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Umsatz</a:t>
                </a:r>
                <a:br>
                  <a:rPr lang="en-US"/>
                </a:br>
                <a:r>
                  <a:rPr lang="en-US"/>
                  <a:t>Anbieter</a:t>
                </a:r>
              </a:p>
            </c:rich>
          </c:tx>
          <c:layout>
            <c:manualLayout>
              <c:xMode val="edge"/>
              <c:yMode val="edge"/>
              <c:x val="1.3080444735120994E-2"/>
              <c:y val="2.76570952221306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de-DE"/>
            </a:p>
          </c:txPr>
        </c:title>
        <c:numFmt formatCode="#,##0,,\ &quot;Mio. 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de-DE"/>
          </a:p>
        </c:txPr>
        <c:crossAx val="2058476832"/>
        <c:crosses val="autoZero"/>
        <c:crossBetween val="between"/>
      </c:valAx>
      <c:valAx>
        <c:axId val="2058475392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de-DE"/>
                  <a:t>Ø Anzahl</a:t>
                </a:r>
              </a:p>
              <a:p>
                <a:pPr>
                  <a:defRPr/>
                </a:pPr>
                <a:r>
                  <a:rPr lang="de-DE"/>
                  <a:t>Verträge</a:t>
                </a:r>
              </a:p>
            </c:rich>
          </c:tx>
          <c:layout>
            <c:manualLayout>
              <c:xMode val="edge"/>
              <c:yMode val="edge"/>
              <c:x val="0.90280644762949591"/>
              <c:y val="3.208823276401545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de-DE"/>
          </a:p>
        </c:txPr>
        <c:crossAx val="2058475872"/>
        <c:crosses val="max"/>
        <c:crossBetween val="between"/>
      </c:valAx>
      <c:catAx>
        <c:axId val="2058475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584753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13395096378158747"/>
          <c:y val="0.14256598133566636"/>
          <c:w val="0.40126107846721909"/>
          <c:h val="0.469913969087197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de-DE"/>
              <a:t>Entwicklung DVC Einnahmen &amp; </a:t>
            </a:r>
            <a:br>
              <a:rPr lang="de-DE"/>
            </a:br>
            <a:r>
              <a:rPr lang="de-DE"/>
              <a:t>Geplante Deckungslücke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Dashboard!$O$14</c:f>
              <c:strCache>
                <c:ptCount val="1"/>
                <c:pt idx="0">
                  <c:v>Einnahmen Servicepauschale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6"/>
              <c:pt idx="0">
                <c:v>2025</c:v>
              </c:pt>
              <c:pt idx="1">
                <c:v>2026</c:v>
              </c:pt>
              <c:pt idx="2">
                <c:v>2027</c:v>
              </c:pt>
              <c:pt idx="3">
                <c:v>2028</c:v>
              </c:pt>
              <c:pt idx="4">
                <c:v>2029</c:v>
              </c:pt>
              <c:pt idx="5">
                <c:v>2030</c:v>
              </c:pt>
            </c:numLit>
          </c:cat>
          <c:val>
            <c:numRef>
              <c:f>Dashboard!$P$14:$U$14</c:f>
              <c:numCache>
                <c:formatCode>#,##0.0,,\ "Mio. €"</c:formatCode>
                <c:ptCount val="6"/>
                <c:pt idx="0">
                  <c:v>0</c:v>
                </c:pt>
                <c:pt idx="1">
                  <c:v>816991.42671678984</c:v>
                </c:pt>
                <c:pt idx="2">
                  <c:v>2661581.3919832078</c:v>
                </c:pt>
                <c:pt idx="3">
                  <c:v>5298557.0841626581</c:v>
                </c:pt>
                <c:pt idx="4">
                  <c:v>8245462.0554789696</c:v>
                </c:pt>
                <c:pt idx="5">
                  <c:v>10125868.320554119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6A-4931-A737-281A4754F19C}"/>
            </c:ext>
          </c:extLst>
        </c:ser>
        <c:ser>
          <c:idx val="1"/>
          <c:order val="1"/>
          <c:tx>
            <c:strRef>
              <c:f>Dashboard!$O$15</c:f>
              <c:strCache>
                <c:ptCount val="1"/>
                <c:pt idx="0">
                  <c:v>Zuschuss FITKO-Stammbudget
(Weiterentwicklung, Steuerung, Koordinierungsstelle)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6"/>
              <c:pt idx="0">
                <c:v>2025</c:v>
              </c:pt>
              <c:pt idx="1">
                <c:v>2026</c:v>
              </c:pt>
              <c:pt idx="2">
                <c:v>2027</c:v>
              </c:pt>
              <c:pt idx="3">
                <c:v>2028</c:v>
              </c:pt>
              <c:pt idx="4">
                <c:v>2029</c:v>
              </c:pt>
              <c:pt idx="5">
                <c:v>2030</c:v>
              </c:pt>
            </c:numLit>
          </c:cat>
          <c:val>
            <c:numRef>
              <c:f>Dashboard!$P$15:$U$15</c:f>
              <c:numCache>
                <c:formatCode>#,##0.0,,\ "Mio. €"</c:formatCode>
                <c:ptCount val="6"/>
                <c:pt idx="0">
                  <c:v>5775133.5999999996</c:v>
                </c:pt>
                <c:pt idx="1">
                  <c:v>6006138.9440000001</c:v>
                </c:pt>
                <c:pt idx="2">
                  <c:v>6246384.5017600004</c:v>
                </c:pt>
                <c:pt idx="3">
                  <c:v>6496239.8818304008</c:v>
                </c:pt>
                <c:pt idx="4">
                  <c:v>6756089.4771036161</c:v>
                </c:pt>
                <c:pt idx="5">
                  <c:v>7026333.056187761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6A-4931-A737-281A4754F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0"/>
        <c:overlap val="100"/>
        <c:axId val="60145903"/>
        <c:axId val="60147343"/>
      </c:barChart>
      <c:barChart>
        <c:barDir val="col"/>
        <c:grouping val="clustered"/>
        <c:varyColors val="0"/>
        <c:ser>
          <c:idx val="2"/>
          <c:order val="2"/>
          <c:tx>
            <c:strRef>
              <c:f>Dashboard!$O$16</c:f>
              <c:strCache>
                <c:ptCount val="1"/>
                <c:pt idx="0">
                  <c:v>Geplante Deckungslücke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6"/>
              <c:pt idx="0">
                <c:v>2025</c:v>
              </c:pt>
              <c:pt idx="1">
                <c:v>2026</c:v>
              </c:pt>
              <c:pt idx="2">
                <c:v>2027</c:v>
              </c:pt>
              <c:pt idx="3">
                <c:v>2028</c:v>
              </c:pt>
              <c:pt idx="4">
                <c:v>2029</c:v>
              </c:pt>
              <c:pt idx="5">
                <c:v>2030</c:v>
              </c:pt>
            </c:numLit>
          </c:cat>
          <c:val>
            <c:numRef>
              <c:f>Dashboard!$P$16:$U$16</c:f>
              <c:numCache>
                <c:formatCode>#,##0.0,,\ "Mio. €"</c:formatCode>
                <c:ptCount val="6"/>
                <c:pt idx="0">
                  <c:v>-7048255.5219999999</c:v>
                </c:pt>
                <c:pt idx="1">
                  <c:v>-6513194.3161632102</c:v>
                </c:pt>
                <c:pt idx="2">
                  <c:v>-4961811.7806119937</c:v>
                </c:pt>
                <c:pt idx="3">
                  <c:v>-2629771.8153363504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6A-4931-A737-281A4754F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0"/>
        <c:axId val="1203550912"/>
        <c:axId val="1203548992"/>
      </c:barChart>
      <c:catAx>
        <c:axId val="60145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de-DE"/>
          </a:p>
        </c:txPr>
        <c:crossAx val="60147343"/>
        <c:crosses val="autoZero"/>
        <c:auto val="1"/>
        <c:lblAlgn val="ctr"/>
        <c:lblOffset val="1000"/>
        <c:noMultiLvlLbl val="0"/>
      </c:catAx>
      <c:valAx>
        <c:axId val="60147343"/>
        <c:scaling>
          <c:orientation val="minMax"/>
          <c:max val="20000000"/>
          <c:min val="-1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,,\ &quot;Mio. 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de-DE"/>
          </a:p>
        </c:txPr>
        <c:crossAx val="60145903"/>
        <c:crosses val="autoZero"/>
        <c:crossBetween val="between"/>
      </c:valAx>
      <c:valAx>
        <c:axId val="1203548992"/>
        <c:scaling>
          <c:orientation val="minMax"/>
          <c:max val="20000000"/>
          <c:min val="-10000000"/>
        </c:scaling>
        <c:delete val="0"/>
        <c:axPos val="r"/>
        <c:numFmt formatCode="#,##0.0,,\ &quot;Mio. €&quot;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de-DE"/>
          </a:p>
        </c:txPr>
        <c:crossAx val="1203550912"/>
        <c:crosses val="max"/>
        <c:crossBetween val="between"/>
      </c:valAx>
      <c:catAx>
        <c:axId val="1203550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03548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402545363358754E-2"/>
          <c:y val="0.6651884567113997"/>
          <c:w val="0.94055638739401504"/>
          <c:h val="0.290525476217874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88006</xdr:rowOff>
    </xdr:from>
    <xdr:to>
      <xdr:col>5</xdr:col>
      <xdr:colOff>625475</xdr:colOff>
      <xdr:row>30</xdr:row>
      <xdr:rowOff>68956</xdr:rowOff>
    </xdr:to>
    <xdr:graphicFrame>
      <xdr:nvGraphicFramePr>
        <xdr:cNvPr id="2" name="Diagramm 1" descr="Grafik zur Visualisierung der Umsätze der Anbieter differenziert nach: S-Services, M-Services, L-Services und Großkunden und der Entwicklung der Anzahl der Verträge im Zeitraum 2025 bis 2030.">
          <a:extLst>
            <a:ext uri="{FF2B5EF4-FFF2-40B4-BE49-F238E27FC236}">
              <a16:creationId xmlns:a16="http://schemas.microsoft.com/office/drawing/2014/main" id="{4B3A2849-2638-40F8-84B4-779921FC14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142874</xdr:colOff>
      <xdr:row>15</xdr:row>
      <xdr:rowOff>63514</xdr:rowOff>
    </xdr:from>
    <xdr:to>
      <xdr:col>12</xdr:col>
      <xdr:colOff>410152</xdr:colOff>
      <xdr:row>31</xdr:row>
      <xdr:rowOff>86591</xdr:rowOff>
    </xdr:to>
    <xdr:graphicFrame>
      <xdr:nvGraphicFramePr>
        <xdr:cNvPr id="3" name="Diagramm 2" descr="Visualisierung der Entwicklung der Finanzierungskomponenten &quot;Zuschuss FITKO-Stammbudget&quot;, &quot;Einnahmen Servicepauschale&quot; sowie &quot;Geplante Deckungslücke für den Zeitraum 2025 bis 2030.">
          <a:extLst>
            <a:ext uri="{FF2B5EF4-FFF2-40B4-BE49-F238E27FC236}">
              <a16:creationId xmlns:a16="http://schemas.microsoft.com/office/drawing/2014/main" id="{0E36A703-3141-48C2-8041-51A49DBD5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dvc">
  <a:themeElements>
    <a:clrScheme name="DVC Farben">
      <a:dk1>
        <a:srgbClr val="000000"/>
      </a:dk1>
      <a:lt1>
        <a:srgbClr val="FFFEFD"/>
      </a:lt1>
      <a:dk2>
        <a:srgbClr val="EFEEED"/>
      </a:dk2>
      <a:lt2>
        <a:srgbClr val="D6D8D6"/>
      </a:lt2>
      <a:accent1>
        <a:srgbClr val="A8AAA8"/>
      </a:accent1>
      <a:accent2>
        <a:srgbClr val="777675"/>
      </a:accent2>
      <a:accent3>
        <a:srgbClr val="CEDFE5"/>
      </a:accent3>
      <a:accent4>
        <a:srgbClr val="6D8DB6"/>
      </a:accent4>
      <a:accent5>
        <a:srgbClr val="36669D"/>
      </a:accent5>
      <a:accent6>
        <a:srgbClr val="0C4C8A"/>
      </a:accent6>
      <a:hlink>
        <a:srgbClr val="000000"/>
      </a:hlink>
      <a:folHlink>
        <a:srgbClr val="00000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vc" id="{585CAEB5-EFCD-47C2-9BE9-2D1D75D3DFB9}" vid="{DEEAACD3-08CB-4D50-81FF-1FFAC90AFA79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504A6-611E-4E7F-A531-5181E5A16F20}">
  <sheetPr>
    <tabColor theme="0"/>
    <pageSetUpPr fitToPage="1"/>
  </sheetPr>
  <dimension ref="B2:O18"/>
  <sheetViews>
    <sheetView zoomScale="110" zoomScaleNormal="110" workbookViewId="0"/>
  </sheetViews>
  <sheetFormatPr baseColWidth="10" defaultColWidth="11.1796875" defaultRowHeight="14.5" x14ac:dyDescent="0.4"/>
  <cols>
    <col min="1" max="1" width="2.54296875" style="19" customWidth="1"/>
    <col min="2" max="2" width="5.1796875" style="19" customWidth="1"/>
    <col min="3" max="3" width="13.81640625" style="19" customWidth="1"/>
    <col min="4" max="4" width="2.1796875" style="19" customWidth="1"/>
    <col min="5" max="16384" width="11.1796875" style="19"/>
  </cols>
  <sheetData>
    <row r="2" spans="2:15" x14ac:dyDescent="0.4">
      <c r="B2" s="96" t="s">
        <v>126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2:15" x14ac:dyDescent="0.4">
      <c r="B3" s="95" t="s">
        <v>127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5" spans="2:15" x14ac:dyDescent="0.4">
      <c r="B5" s="12" t="s">
        <v>128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2:15" x14ac:dyDescent="0.4">
      <c r="B6" s="12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2:15" x14ac:dyDescent="0.4">
      <c r="B7" s="21"/>
      <c r="C7" s="45" t="s">
        <v>198</v>
      </c>
      <c r="D7" s="21"/>
      <c r="E7" s="21" t="s">
        <v>130</v>
      </c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2:15" x14ac:dyDescent="0.4">
      <c r="B8" s="21"/>
      <c r="C8" s="45" t="s">
        <v>129</v>
      </c>
      <c r="D8" s="21"/>
      <c r="E8" s="21" t="s">
        <v>131</v>
      </c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2:15" x14ac:dyDescent="0.4">
      <c r="B9" s="21"/>
      <c r="C9" s="45" t="s">
        <v>199</v>
      </c>
      <c r="D9" s="21"/>
      <c r="E9" s="21" t="s">
        <v>200</v>
      </c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2:15" x14ac:dyDescent="0.4">
      <c r="B10" s="21"/>
      <c r="C10" s="45" t="s">
        <v>133</v>
      </c>
      <c r="D10" s="21"/>
      <c r="E10" s="21" t="s">
        <v>132</v>
      </c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2:15" x14ac:dyDescent="0.4"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3" spans="2:15" x14ac:dyDescent="0.4">
      <c r="B13" s="40" t="s">
        <v>139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</row>
    <row r="14" spans="2:15" x14ac:dyDescent="0.4"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</row>
    <row r="15" spans="2:15" ht="16.5" x14ac:dyDescent="0.45">
      <c r="B15" s="42"/>
      <c r="C15" s="46" t="s">
        <v>140</v>
      </c>
      <c r="D15" s="42"/>
      <c r="E15" s="42" t="s">
        <v>141</v>
      </c>
      <c r="F15" s="42"/>
      <c r="G15" s="42"/>
      <c r="H15" s="42"/>
      <c r="I15" s="42"/>
      <c r="J15" s="42"/>
      <c r="K15" s="42"/>
      <c r="L15" s="42"/>
      <c r="M15" s="42"/>
      <c r="N15" s="42"/>
      <c r="O15" s="42"/>
    </row>
    <row r="16" spans="2:15" x14ac:dyDescent="0.4"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</row>
    <row r="17" spans="2:15" ht="16.5" x14ac:dyDescent="0.45">
      <c r="B17" s="42"/>
      <c r="C17" s="44" t="s">
        <v>140</v>
      </c>
      <c r="D17" s="42"/>
      <c r="E17" s="42" t="s">
        <v>184</v>
      </c>
      <c r="F17" s="42"/>
      <c r="G17" s="42"/>
      <c r="H17" s="42"/>
      <c r="I17" s="42"/>
      <c r="J17" s="42"/>
      <c r="K17" s="42"/>
      <c r="L17" s="42"/>
      <c r="M17" s="42"/>
      <c r="N17" s="42"/>
      <c r="O17" s="42"/>
    </row>
    <row r="18" spans="2:15" x14ac:dyDescent="0.4"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</row>
  </sheetData>
  <mergeCells count="2">
    <mergeCell ref="B3:O3"/>
    <mergeCell ref="B2:O2"/>
  </mergeCells>
  <hyperlinks>
    <hyperlink ref="C7" location="Dashboard!A1" display="Dashboard" xr:uid="{23366CE6-53B9-4934-BF8C-F2AC06526153}"/>
    <hyperlink ref="C8" location="'Business Case'!A1" display="Business Case" xr:uid="{DC65DFAC-7872-43C5-A28A-66906CC944B6}"/>
    <hyperlink ref="C9" location="Sensitivitäten!A1" display="Sensitivitäten" xr:uid="{F98CAA93-5304-4EC4-96AE-E29216D6B196}"/>
    <hyperlink ref="C10" location="Eingangswerte!A1" display="Eingangswerte" xr:uid="{59DDE818-28B7-44B0-9036-61B8107B2738}"/>
  </hyperlinks>
  <pageMargins left="0.7" right="0.7" top="0.78740157499999996" bottom="0.78740157499999996" header="0.3" footer="0.3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E8D6C-F205-4C8E-BFA2-3B9FBB6BCF47}">
  <sheetPr>
    <tabColor theme="8"/>
  </sheetPr>
  <dimension ref="B1:U28"/>
  <sheetViews>
    <sheetView view="pageBreakPreview" topLeftCell="I1" zoomScale="60" zoomScaleNormal="100" workbookViewId="0">
      <selection activeCell="O20" sqref="O20"/>
    </sheetView>
  </sheetViews>
  <sheetFormatPr baseColWidth="10" defaultColWidth="10.81640625" defaultRowHeight="14.5" x14ac:dyDescent="0.4"/>
  <cols>
    <col min="1" max="1" width="2.54296875" style="4" customWidth="1"/>
    <col min="2" max="2" width="34.54296875" style="4" customWidth="1"/>
    <col min="3" max="3" width="15.1796875" style="4" bestFit="1" customWidth="1"/>
    <col min="4" max="7" width="10.81640625" style="4"/>
    <col min="8" max="8" width="11.1796875" style="4" bestFit="1" customWidth="1"/>
    <col min="9" max="14" width="10.81640625" style="4"/>
    <col min="15" max="15" width="34.7265625" style="4" customWidth="1"/>
    <col min="16" max="16" width="11.1796875" style="4" bestFit="1" customWidth="1"/>
    <col min="17" max="17" width="12.54296875" style="4" customWidth="1"/>
    <col min="18" max="18" width="12.6328125" style="4" customWidth="1"/>
    <col min="19" max="19" width="12.54296875" style="4" customWidth="1"/>
    <col min="20" max="20" width="11.81640625" style="4" bestFit="1" customWidth="1"/>
    <col min="21" max="21" width="14.1796875" style="4" customWidth="1"/>
    <col min="22" max="16384" width="10.81640625" style="4"/>
  </cols>
  <sheetData>
    <row r="1" spans="2:21" s="1" customFormat="1" ht="16" customHeight="1" x14ac:dyDescent="0.25">
      <c r="B1" s="2"/>
      <c r="I1" s="3"/>
    </row>
    <row r="2" spans="2:21" s="19" customFormat="1" x14ac:dyDescent="0.4">
      <c r="B2" s="96" t="s">
        <v>198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O2" s="25"/>
      <c r="P2" s="25"/>
      <c r="Q2" s="25"/>
      <c r="R2" s="25"/>
      <c r="S2" s="25"/>
      <c r="T2" s="25"/>
      <c r="U2" s="25"/>
    </row>
    <row r="3" spans="2:21" s="19" customFormat="1" x14ac:dyDescent="0.4">
      <c r="B3" s="95" t="s">
        <v>201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O3" s="23" t="s">
        <v>202</v>
      </c>
      <c r="P3" s="25"/>
      <c r="Q3" s="25"/>
      <c r="R3" s="25"/>
      <c r="S3" s="25"/>
      <c r="T3" s="25"/>
      <c r="U3" s="25"/>
    </row>
    <row r="4" spans="2:21" s="1" customFormat="1" ht="12.5" x14ac:dyDescent="0.2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2:21" x14ac:dyDescent="0.4">
      <c r="B5" s="27" t="s">
        <v>209</v>
      </c>
      <c r="P5" s="47">
        <v>2025</v>
      </c>
      <c r="Q5" s="47">
        <v>2026</v>
      </c>
      <c r="R5" s="47">
        <v>2027</v>
      </c>
      <c r="S5" s="47">
        <v>2028</v>
      </c>
      <c r="T5" s="47">
        <v>2029</v>
      </c>
      <c r="U5" s="47">
        <v>2030</v>
      </c>
    </row>
    <row r="6" spans="2:21" x14ac:dyDescent="0.4">
      <c r="B6" s="4" t="str">
        <f>"   " &amp; 'Business Case'!A5</f>
        <v xml:space="preserve">   Kosten-/Preissteigerung pro Jahr</v>
      </c>
      <c r="C6" s="5">
        <f>'Business Case'!D5</f>
        <v>0.04</v>
      </c>
      <c r="O6" s="4" t="s">
        <v>194</v>
      </c>
      <c r="P6" s="48">
        <f>'Business Case'!C39</f>
        <v>511238.11581676756</v>
      </c>
      <c r="Q6" s="48">
        <f>'Business Case'!D39</f>
        <v>9145027.4157303385</v>
      </c>
      <c r="R6" s="48">
        <f>'Business Case'!E39</f>
        <v>29196031.712359555</v>
      </c>
      <c r="S6" s="48">
        <f>'Business Case'!F39</f>
        <v>56012144.476044968</v>
      </c>
      <c r="T6" s="48">
        <f>'Business Case'!G39</f>
        <v>84807217.352888107</v>
      </c>
      <c r="U6" s="48">
        <f>'Business Case'!H39</f>
        <v>100763892.66300839</v>
      </c>
    </row>
    <row r="7" spans="2:21" x14ac:dyDescent="0.4">
      <c r="B7" s="4" t="s">
        <v>204</v>
      </c>
      <c r="C7" s="6" t="str">
        <f>'Business Case'!C7 &amp; " / " &amp; 'Business Case'!C8 &amp; " / " &amp; 'Business Case'!C9</f>
        <v>120 / 1200 / 7000</v>
      </c>
      <c r="O7" s="9" t="s">
        <v>195</v>
      </c>
      <c r="P7" s="48">
        <f>'Business Case'!C40</f>
        <v>2520</v>
      </c>
      <c r="Q7" s="48">
        <f>'Business Case'!D40</f>
        <v>16773.12</v>
      </c>
      <c r="R7" s="48">
        <f>'Business Case'!E40</f>
        <v>103574.01600000002</v>
      </c>
      <c r="S7" s="48">
        <f>'Business Case'!F40</f>
        <v>379277.14406400011</v>
      </c>
      <c r="T7" s="48">
        <f>'Business Case'!G40</f>
        <v>783589.98122496018</v>
      </c>
      <c r="U7" s="48">
        <f>'Business Case'!H40</f>
        <v>1239876.3730010116</v>
      </c>
    </row>
    <row r="8" spans="2:21" x14ac:dyDescent="0.4">
      <c r="B8" s="4" t="str">
        <f>"   " &amp; 'Business Case'!A10</f>
        <v xml:space="preserve">   Ø Umsatz je Nutzer für Großkunden</v>
      </c>
      <c r="C8" s="8">
        <f>'Business Case'!C10</f>
        <v>7.5</v>
      </c>
      <c r="D8" s="4" t="s">
        <v>233</v>
      </c>
      <c r="O8" s="9" t="s">
        <v>196</v>
      </c>
      <c r="P8" s="48">
        <f>'Business Case'!C41</f>
        <v>7200</v>
      </c>
      <c r="Q8" s="48">
        <f>'Business Case'!D41</f>
        <v>47923.200000000004</v>
      </c>
      <c r="R8" s="48">
        <f>'Business Case'!E41</f>
        <v>295925.76000000001</v>
      </c>
      <c r="S8" s="48">
        <f>'Business Case'!F41</f>
        <v>1083648.9830400001</v>
      </c>
      <c r="T8" s="48">
        <f>'Business Case'!G41</f>
        <v>2238828.5177856004</v>
      </c>
      <c r="U8" s="48">
        <f>'Business Case'!H41</f>
        <v>3542503.9228600329</v>
      </c>
    </row>
    <row r="9" spans="2:21" x14ac:dyDescent="0.4">
      <c r="B9" s="4" t="str">
        <f>'Business Case'!A13</f>
        <v xml:space="preserve">   Abgangsquote Bestandsverträge</v>
      </c>
      <c r="C9" s="5">
        <f>'Business Case'!E13</f>
        <v>0.1</v>
      </c>
      <c r="O9" s="9" t="s">
        <v>197</v>
      </c>
      <c r="P9" s="48">
        <f>'Business Case'!C42</f>
        <v>21000</v>
      </c>
      <c r="Q9" s="48">
        <f>'Business Case'!D42</f>
        <v>139776</v>
      </c>
      <c r="R9" s="48">
        <f>'Business Case'!E42</f>
        <v>863116.79999999993</v>
      </c>
      <c r="S9" s="48">
        <f>'Business Case'!F42</f>
        <v>3160642.8672000002</v>
      </c>
      <c r="T9" s="48">
        <f>'Business Case'!G42</f>
        <v>6529916.5102080004</v>
      </c>
      <c r="U9" s="48">
        <f>'Business Case'!H42</f>
        <v>10332303.108341761</v>
      </c>
    </row>
    <row r="10" spans="2:21" x14ac:dyDescent="0.4">
      <c r="B10" s="4" t="str">
        <f>'Business Case'!A16</f>
        <v xml:space="preserve">   Zielwert Marktdurchdringung 2029</v>
      </c>
      <c r="C10" s="5">
        <f>'Business Case'!G16</f>
        <v>0.35</v>
      </c>
      <c r="D10" s="4" t="s">
        <v>234</v>
      </c>
      <c r="O10" s="4" t="s">
        <v>119</v>
      </c>
      <c r="P10" s="6">
        <f>'Business Case'!C22</f>
        <v>2.5</v>
      </c>
      <c r="Q10" s="6">
        <f>'Business Case'!D22</f>
        <v>43</v>
      </c>
      <c r="R10" s="6">
        <f>'Business Case'!E22</f>
        <v>132</v>
      </c>
      <c r="S10" s="6">
        <f>'Business Case'!F22</f>
        <v>243.5</v>
      </c>
      <c r="T10" s="6">
        <f>'Business Case'!G22</f>
        <v>354.5</v>
      </c>
      <c r="U10" s="6">
        <f>'Business Case'!H22</f>
        <v>405</v>
      </c>
    </row>
    <row r="11" spans="2:21" x14ac:dyDescent="0.4">
      <c r="B11" s="6" t="str">
        <f>'Business Case'!A24</f>
        <v xml:space="preserve">   Anzahl Nutzende Großkunde</v>
      </c>
      <c r="C11" s="6">
        <f>'Business Case'!C24</f>
        <v>2272.1694036300778</v>
      </c>
      <c r="O11" s="4" t="s">
        <v>125</v>
      </c>
      <c r="P11" s="6">
        <f>'Business Case'!C30</f>
        <v>2.5</v>
      </c>
      <c r="Q11" s="6">
        <f>'Business Case'!D30</f>
        <v>16</v>
      </c>
      <c r="R11" s="6">
        <f>'Business Case'!E30</f>
        <v>95</v>
      </c>
      <c r="S11" s="6">
        <f>'Business Case'!F30</f>
        <v>334.5</v>
      </c>
      <c r="T11" s="6">
        <f>'Business Case'!G30</f>
        <v>664.5</v>
      </c>
      <c r="U11" s="6">
        <f>'Business Case'!H30</f>
        <v>1011</v>
      </c>
    </row>
    <row r="12" spans="2:21" x14ac:dyDescent="0.4">
      <c r="B12" s="4" t="s">
        <v>205</v>
      </c>
      <c r="C12" s="49" t="str">
        <f>'Business Case'!C31 * 100 &amp; "% / " &amp; 'Business Case'!C32*100 &amp; "% / " &amp; 'Business Case'!C33*100 &amp; "%"</f>
        <v>70% / 20% / 10%</v>
      </c>
    </row>
    <row r="13" spans="2:21" x14ac:dyDescent="0.4">
      <c r="B13" s="4" t="str">
        <f>"   " &amp; 'Business Case'!A47</f>
        <v xml:space="preserve">   Aufschlag in % der Kosten des Service</v>
      </c>
      <c r="C13" s="50">
        <f>'Business Case'!D47</f>
        <v>8.7383437596618152E-2</v>
      </c>
      <c r="D13" s="4" t="s">
        <v>232</v>
      </c>
    </row>
    <row r="14" spans="2:21" x14ac:dyDescent="0.4">
      <c r="O14" s="4" t="s">
        <v>222</v>
      </c>
      <c r="P14" s="15">
        <f>'Business Case'!C51</f>
        <v>0</v>
      </c>
      <c r="Q14" s="15">
        <f>'Business Case'!D51</f>
        <v>816991.42671678984</v>
      </c>
      <c r="R14" s="15">
        <f>'Business Case'!E51</f>
        <v>2661581.3919832078</v>
      </c>
      <c r="S14" s="15">
        <f>'Business Case'!F51</f>
        <v>5298557.0841626581</v>
      </c>
      <c r="T14" s="15">
        <f>'Business Case'!G51</f>
        <v>8245462.0554789696</v>
      </c>
      <c r="U14" s="15">
        <f>'Business Case'!H51</f>
        <v>10125868.320554119</v>
      </c>
    </row>
    <row r="15" spans="2:21" ht="43.5" x14ac:dyDescent="0.4">
      <c r="B15" s="12" t="s">
        <v>203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O15" s="57" t="s">
        <v>230</v>
      </c>
      <c r="P15" s="15">
        <f>'Business Case'!C52</f>
        <v>5775133.5999999996</v>
      </c>
      <c r="Q15" s="15">
        <f>'Business Case'!D52</f>
        <v>6006138.9440000001</v>
      </c>
      <c r="R15" s="15">
        <f>'Business Case'!E52</f>
        <v>6246384.5017600004</v>
      </c>
      <c r="S15" s="15">
        <f>'Business Case'!F52</f>
        <v>6496239.8818304008</v>
      </c>
      <c r="T15" s="15">
        <f>'Business Case'!G52</f>
        <v>6756089.4771036161</v>
      </c>
      <c r="U15" s="15">
        <f>'Business Case'!H52</f>
        <v>7026333.056187761</v>
      </c>
    </row>
    <row r="16" spans="2:21" x14ac:dyDescent="0.4">
      <c r="O16" s="4" t="s">
        <v>231</v>
      </c>
      <c r="P16" s="15">
        <f>IF('Business Case'!C57&lt;0,'Business Case'!C57,"")</f>
        <v>-7048255.5219999999</v>
      </c>
      <c r="Q16" s="15">
        <f>IF('Business Case'!D57&lt;0,'Business Case'!D57,"")</f>
        <v>-6513194.3161632102</v>
      </c>
      <c r="R16" s="15">
        <f>IF('Business Case'!E57&lt;0,'Business Case'!E57,"")</f>
        <v>-4961811.7806119937</v>
      </c>
      <c r="S16" s="15">
        <f>IF('Business Case'!F57&lt;0,'Business Case'!F57,"")</f>
        <v>-2629771.8153363504</v>
      </c>
      <c r="T16" s="15" t="str">
        <f>IF('Business Case'!G57&lt;0,'Business Case'!G57,"")</f>
        <v/>
      </c>
      <c r="U16" s="15" t="str">
        <f>IF('Business Case'!H57&lt;0,'Business Case'!H57,"")</f>
        <v/>
      </c>
    </row>
    <row r="17" spans="15:21" x14ac:dyDescent="0.4">
      <c r="O17" s="4" t="s">
        <v>0</v>
      </c>
      <c r="P17" s="15">
        <f>'Business Case'!C57</f>
        <v>-7048255.5219999999</v>
      </c>
      <c r="Q17" s="15">
        <f>'Business Case'!D57</f>
        <v>-6513194.3161632102</v>
      </c>
      <c r="R17" s="15">
        <f>'Business Case'!E57</f>
        <v>-4961811.7806119937</v>
      </c>
      <c r="S17" s="15">
        <f>'Business Case'!F57</f>
        <v>-2629771.8153363504</v>
      </c>
      <c r="T17" s="15">
        <f>'Business Case'!G57</f>
        <v>0</v>
      </c>
      <c r="U17" s="15">
        <f>'Business Case'!H57</f>
        <v>1550587.7828559875</v>
      </c>
    </row>
    <row r="18" spans="15:21" x14ac:dyDescent="0.4"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</row>
    <row r="19" spans="15:21" x14ac:dyDescent="0.4">
      <c r="P19" s="47">
        <v>2025</v>
      </c>
      <c r="Q19" s="47">
        <v>2026</v>
      </c>
      <c r="R19" s="47">
        <v>2027</v>
      </c>
      <c r="S19" s="47">
        <v>2028</v>
      </c>
      <c r="T19" s="47">
        <v>2029</v>
      </c>
      <c r="U19" s="47">
        <v>2030</v>
      </c>
    </row>
    <row r="20" spans="15:21" x14ac:dyDescent="0.4">
      <c r="O20" s="4" t="s">
        <v>194</v>
      </c>
      <c r="P20" s="15">
        <f>P6</f>
        <v>511238.11581676756</v>
      </c>
      <c r="Q20" s="15">
        <f t="shared" ref="Q20:U20" si="0">Q6</f>
        <v>9145027.4157303385</v>
      </c>
      <c r="R20" s="15">
        <f t="shared" si="0"/>
        <v>29196031.712359555</v>
      </c>
      <c r="S20" s="15">
        <f t="shared" si="0"/>
        <v>56012144.476044968</v>
      </c>
      <c r="T20" s="15">
        <f t="shared" si="0"/>
        <v>84807217.352888107</v>
      </c>
      <c r="U20" s="15">
        <f t="shared" si="0"/>
        <v>100763892.66300839</v>
      </c>
    </row>
    <row r="21" spans="15:21" x14ac:dyDescent="0.4">
      <c r="O21" s="4" t="s">
        <v>212</v>
      </c>
      <c r="P21" s="15">
        <f>SUM(P7:P9)</f>
        <v>30720</v>
      </c>
      <c r="Q21" s="15">
        <f t="shared" ref="Q21:U21" si="1">SUM(Q7:Q9)</f>
        <v>204472.32000000001</v>
      </c>
      <c r="R21" s="15">
        <f t="shared" si="1"/>
        <v>1262616.5759999999</v>
      </c>
      <c r="S21" s="15">
        <f t="shared" si="1"/>
        <v>4623568.9943040004</v>
      </c>
      <c r="T21" s="15">
        <f t="shared" si="1"/>
        <v>9552335.0092185605</v>
      </c>
      <c r="U21" s="15">
        <f t="shared" si="1"/>
        <v>15114683.404202806</v>
      </c>
    </row>
    <row r="22" spans="15:21" x14ac:dyDescent="0.4">
      <c r="O22" s="4" t="s">
        <v>213</v>
      </c>
      <c r="P22" s="54">
        <f>SUM(P20:P21)</f>
        <v>541958.11581676756</v>
      </c>
      <c r="Q22" s="54">
        <f t="shared" ref="Q22:U22" si="2">SUM(Q20:Q21)</f>
        <v>9349499.7357303388</v>
      </c>
      <c r="R22" s="54">
        <f t="shared" si="2"/>
        <v>30458648.288359556</v>
      </c>
      <c r="S22" s="54">
        <f t="shared" si="2"/>
        <v>60635713.470348969</v>
      </c>
      <c r="T22" s="54">
        <f t="shared" si="2"/>
        <v>94359552.362106666</v>
      </c>
      <c r="U22" s="54">
        <f t="shared" si="2"/>
        <v>115878576.0672112</v>
      </c>
    </row>
    <row r="23" spans="15:21" x14ac:dyDescent="0.4">
      <c r="O23" s="4" t="s">
        <v>215</v>
      </c>
      <c r="P23" s="56">
        <f>P20/P22</f>
        <v>0.94331665288616839</v>
      </c>
      <c r="Q23" s="56">
        <f t="shared" ref="Q23:U23" si="3">Q20/Q22</f>
        <v>0.97813013254403525</v>
      </c>
      <c r="R23" s="56">
        <f t="shared" si="3"/>
        <v>0.95854653285836922</v>
      </c>
      <c r="S23" s="56">
        <f t="shared" si="3"/>
        <v>0.92374841937722163</v>
      </c>
      <c r="T23" s="56">
        <f t="shared" si="3"/>
        <v>0.89876663496069498</v>
      </c>
      <c r="U23" s="56">
        <f t="shared" si="3"/>
        <v>0.86956447069701581</v>
      </c>
    </row>
    <row r="24" spans="15:21" x14ac:dyDescent="0.4">
      <c r="O24" s="4" t="s">
        <v>222</v>
      </c>
      <c r="P24" s="15">
        <f>P14</f>
        <v>0</v>
      </c>
      <c r="Q24" s="15">
        <f t="shared" ref="Q24:U24" si="4">Q14</f>
        <v>816991.42671678984</v>
      </c>
      <c r="R24" s="15">
        <f t="shared" si="4"/>
        <v>2661581.3919832078</v>
      </c>
      <c r="S24" s="15">
        <f t="shared" si="4"/>
        <v>5298557.0841626581</v>
      </c>
      <c r="T24" s="15">
        <f t="shared" si="4"/>
        <v>8245462.0554789696</v>
      </c>
      <c r="U24" s="15">
        <f t="shared" si="4"/>
        <v>10125868.320554119</v>
      </c>
    </row>
    <row r="25" spans="15:21" x14ac:dyDescent="0.4">
      <c r="O25" s="4" t="s">
        <v>223</v>
      </c>
      <c r="P25" s="15">
        <f t="shared" ref="P25:U25" si="5">P15</f>
        <v>5775133.5999999996</v>
      </c>
      <c r="Q25" s="15">
        <f t="shared" si="5"/>
        <v>6006138.9440000001</v>
      </c>
      <c r="R25" s="15">
        <f t="shared" si="5"/>
        <v>6246384.5017600004</v>
      </c>
      <c r="S25" s="15">
        <f t="shared" si="5"/>
        <v>6496239.8818304008</v>
      </c>
      <c r="T25" s="15">
        <f t="shared" si="5"/>
        <v>6756089.4771036161</v>
      </c>
      <c r="U25" s="15">
        <f t="shared" si="5"/>
        <v>7026333.056187761</v>
      </c>
    </row>
    <row r="26" spans="15:21" x14ac:dyDescent="0.4">
      <c r="O26" s="4" t="s">
        <v>0</v>
      </c>
      <c r="P26" s="54">
        <f>P17</f>
        <v>-7048255.5219999999</v>
      </c>
      <c r="Q26" s="54">
        <f t="shared" ref="Q26:U26" si="6">Q17</f>
        <v>-6513194.3161632102</v>
      </c>
      <c r="R26" s="54">
        <f t="shared" si="6"/>
        <v>-4961811.7806119937</v>
      </c>
      <c r="S26" s="54">
        <f t="shared" si="6"/>
        <v>-2629771.8153363504</v>
      </c>
      <c r="T26" s="54">
        <f t="shared" si="6"/>
        <v>0</v>
      </c>
      <c r="U26" s="54">
        <f t="shared" si="6"/>
        <v>1550587.7828559875</v>
      </c>
    </row>
    <row r="27" spans="15:21" x14ac:dyDescent="0.4">
      <c r="O27" s="55"/>
      <c r="P27" s="15"/>
    </row>
    <row r="28" spans="15:21" x14ac:dyDescent="0.4">
      <c r="O28" s="4" t="s">
        <v>214</v>
      </c>
      <c r="P28" s="15">
        <f>P26</f>
        <v>-7048255.5219999999</v>
      </c>
      <c r="Q28" s="15">
        <f>Q26+P28</f>
        <v>-13561449.83816321</v>
      </c>
      <c r="R28" s="15">
        <f t="shared" ref="R28:U28" si="7">R26+Q28</f>
        <v>-18523261.618775204</v>
      </c>
      <c r="S28" s="15">
        <f t="shared" si="7"/>
        <v>-21153033.434111554</v>
      </c>
      <c r="T28" s="15">
        <f>T26+S28</f>
        <v>-21153033.434111554</v>
      </c>
      <c r="U28" s="15">
        <f t="shared" si="7"/>
        <v>-19602445.651255567</v>
      </c>
    </row>
  </sheetData>
  <mergeCells count="2">
    <mergeCell ref="B2:M2"/>
    <mergeCell ref="B3:M3"/>
  </mergeCells>
  <pageMargins left="0.70866141732283472" right="0.70866141732283472" top="0.78740157480314965" bottom="0.78740157480314965" header="0.31496062992125984" footer="0.31496062992125984"/>
  <pageSetup paperSize="9" scale="80" orientation="landscape" r:id="rId1"/>
  <colBreaks count="1" manualBreakCount="1">
    <brk id="1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AF015-DF57-4A52-ADE6-C71CF189F697}">
  <sheetPr>
    <tabColor theme="9"/>
  </sheetPr>
  <dimension ref="A1:I93"/>
  <sheetViews>
    <sheetView tabSelected="1" view="pageBreakPreview" zoomScale="110" zoomScaleNormal="110" zoomScaleSheetLayoutView="110" workbookViewId="0">
      <pane xSplit="2" ySplit="2" topLeftCell="C3" activePane="bottomRight" state="frozen"/>
      <selection activeCell="E26" sqref="E26"/>
      <selection pane="topRight" activeCell="E26" sqref="E26"/>
      <selection pane="bottomLeft" activeCell="E26" sqref="E26"/>
      <selection pane="bottomRight" activeCell="A2" sqref="A2"/>
    </sheetView>
  </sheetViews>
  <sheetFormatPr baseColWidth="10" defaultColWidth="10.81640625" defaultRowHeight="14.5" x14ac:dyDescent="0.25"/>
  <cols>
    <col min="1" max="1" width="49.1796875" style="63" customWidth="1"/>
    <col min="2" max="2" width="9.6328125" style="63" customWidth="1"/>
    <col min="3" max="3" width="8.6328125" style="63" bestFit="1" customWidth="1"/>
    <col min="4" max="4" width="10.36328125" style="63" bestFit="1" customWidth="1"/>
    <col min="5" max="7" width="11.54296875" style="63" bestFit="1" customWidth="1"/>
    <col min="8" max="8" width="12.7265625" style="63" bestFit="1" customWidth="1"/>
    <col min="9" max="9" width="37.81640625" style="62" customWidth="1"/>
    <col min="10" max="16384" width="10.81640625" style="63"/>
  </cols>
  <sheetData>
    <row r="1" spans="1:9" x14ac:dyDescent="0.25">
      <c r="A1" s="93" t="s">
        <v>129</v>
      </c>
      <c r="B1" s="93"/>
      <c r="C1" s="93"/>
      <c r="D1" s="93"/>
      <c r="E1" s="93"/>
      <c r="F1" s="93"/>
      <c r="G1" s="93"/>
      <c r="H1" s="93"/>
      <c r="I1" s="93"/>
    </row>
    <row r="2" spans="1:9" x14ac:dyDescent="0.25">
      <c r="A2" s="94" t="s">
        <v>146</v>
      </c>
      <c r="B2" s="94"/>
      <c r="C2" s="94"/>
      <c r="D2" s="94"/>
      <c r="E2" s="94"/>
      <c r="F2" s="94"/>
      <c r="G2" s="94"/>
      <c r="H2" s="94"/>
      <c r="I2" s="94"/>
    </row>
    <row r="3" spans="1:9" x14ac:dyDescent="0.25">
      <c r="A3" s="109"/>
      <c r="B3" s="109"/>
      <c r="C3" s="109"/>
      <c r="D3" s="109"/>
      <c r="E3" s="109"/>
      <c r="F3" s="109"/>
      <c r="G3" s="109"/>
      <c r="H3" s="109"/>
      <c r="I3" s="109"/>
    </row>
    <row r="4" spans="1:9" s="62" customFormat="1" ht="29" x14ac:dyDescent="0.25">
      <c r="A4" s="66" t="s">
        <v>87</v>
      </c>
      <c r="B4" s="66" t="s">
        <v>244</v>
      </c>
      <c r="C4" s="66" t="s">
        <v>247</v>
      </c>
      <c r="D4" s="66" t="s">
        <v>248</v>
      </c>
      <c r="E4" s="66" t="s">
        <v>249</v>
      </c>
      <c r="F4" s="66" t="s">
        <v>250</v>
      </c>
      <c r="G4" s="66" t="s">
        <v>251</v>
      </c>
      <c r="H4" s="66" t="s">
        <v>252</v>
      </c>
      <c r="I4" s="66" t="s">
        <v>51</v>
      </c>
    </row>
    <row r="5" spans="1:9" ht="29" x14ac:dyDescent="0.25">
      <c r="A5" s="63" t="s">
        <v>86</v>
      </c>
      <c r="B5" s="63" t="s">
        <v>89</v>
      </c>
      <c r="D5" s="61">
        <v>0.04</v>
      </c>
      <c r="E5" s="67">
        <f>D5</f>
        <v>0.04</v>
      </c>
      <c r="F5" s="67">
        <f t="shared" ref="F5:H5" si="0">E5</f>
        <v>0.04</v>
      </c>
      <c r="G5" s="67">
        <f t="shared" si="0"/>
        <v>0.04</v>
      </c>
      <c r="H5" s="67">
        <f t="shared" si="0"/>
        <v>0.04</v>
      </c>
      <c r="I5" s="62" t="s">
        <v>148</v>
      </c>
    </row>
    <row r="6" spans="1:9" x14ac:dyDescent="0.25">
      <c r="A6" s="68" t="s">
        <v>142</v>
      </c>
      <c r="C6" s="69"/>
      <c r="D6" s="69"/>
      <c r="E6" s="69"/>
      <c r="F6" s="69"/>
      <c r="G6" s="69"/>
      <c r="H6" s="69"/>
    </row>
    <row r="7" spans="1:9" ht="43.5" x14ac:dyDescent="0.25">
      <c r="A7" s="63" t="s">
        <v>143</v>
      </c>
      <c r="B7" s="63" t="s">
        <v>83</v>
      </c>
      <c r="C7" s="70">
        <v>120</v>
      </c>
      <c r="D7" s="71">
        <f t="shared" ref="D7:H9" si="1">C7*(1+D$5)</f>
        <v>124.80000000000001</v>
      </c>
      <c r="E7" s="71">
        <f t="shared" si="1"/>
        <v>129.79200000000003</v>
      </c>
      <c r="F7" s="71">
        <f t="shared" si="1"/>
        <v>134.98368000000005</v>
      </c>
      <c r="G7" s="71">
        <f t="shared" si="1"/>
        <v>140.38302720000004</v>
      </c>
      <c r="H7" s="71">
        <f t="shared" si="1"/>
        <v>145.99834828800005</v>
      </c>
      <c r="I7" s="62" t="s">
        <v>236</v>
      </c>
    </row>
    <row r="8" spans="1:9" ht="43.5" x14ac:dyDescent="0.25">
      <c r="A8" s="63" t="s">
        <v>210</v>
      </c>
      <c r="B8" s="63" t="s">
        <v>83</v>
      </c>
      <c r="C8" s="70">
        <v>1200</v>
      </c>
      <c r="D8" s="71">
        <f t="shared" si="1"/>
        <v>1248</v>
      </c>
      <c r="E8" s="71">
        <f t="shared" si="1"/>
        <v>1297.92</v>
      </c>
      <c r="F8" s="71">
        <f t="shared" si="1"/>
        <v>1349.8368</v>
      </c>
      <c r="G8" s="71">
        <f t="shared" si="1"/>
        <v>1403.8302720000002</v>
      </c>
      <c r="H8" s="71">
        <f t="shared" si="1"/>
        <v>1459.9834828800001</v>
      </c>
      <c r="I8" s="62" t="s">
        <v>237</v>
      </c>
    </row>
    <row r="9" spans="1:9" ht="43.5" x14ac:dyDescent="0.25">
      <c r="A9" s="63" t="s">
        <v>144</v>
      </c>
      <c r="B9" s="63" t="s">
        <v>83</v>
      </c>
      <c r="C9" s="70">
        <v>7000</v>
      </c>
      <c r="D9" s="71">
        <f t="shared" si="1"/>
        <v>7280</v>
      </c>
      <c r="E9" s="71">
        <f t="shared" si="1"/>
        <v>7571.2</v>
      </c>
      <c r="F9" s="71">
        <f t="shared" si="1"/>
        <v>7874.0479999999998</v>
      </c>
      <c r="G9" s="71">
        <f t="shared" si="1"/>
        <v>8189.0099200000004</v>
      </c>
      <c r="H9" s="71">
        <f t="shared" si="1"/>
        <v>8516.5703168</v>
      </c>
      <c r="I9" s="62" t="s">
        <v>238</v>
      </c>
    </row>
    <row r="10" spans="1:9" ht="43.5" x14ac:dyDescent="0.25">
      <c r="A10" s="63" t="s">
        <v>153</v>
      </c>
      <c r="B10" s="63" t="s">
        <v>83</v>
      </c>
      <c r="C10" s="72">
        <f>Sensitivitäten!F7</f>
        <v>7.5</v>
      </c>
      <c r="D10" s="73">
        <f>C10*(1+D$5)</f>
        <v>7.8000000000000007</v>
      </c>
      <c r="E10" s="73">
        <f>D10*(1+E$5)</f>
        <v>8.1120000000000019</v>
      </c>
      <c r="F10" s="73">
        <f>E10*(1+F$5)</f>
        <v>8.4364800000000031</v>
      </c>
      <c r="G10" s="73">
        <f>F10*(1+G$5)</f>
        <v>8.7739392000000027</v>
      </c>
      <c r="H10" s="73">
        <f>G10*(1+H$5)</f>
        <v>9.1248967680000028</v>
      </c>
      <c r="I10" s="62" t="s">
        <v>193</v>
      </c>
    </row>
    <row r="11" spans="1:9" x14ac:dyDescent="0.25">
      <c r="A11" s="68" t="s">
        <v>145</v>
      </c>
      <c r="C11" s="74"/>
      <c r="D11" s="67"/>
      <c r="E11" s="67"/>
      <c r="F11" s="67"/>
      <c r="G11" s="67"/>
      <c r="H11" s="67"/>
    </row>
    <row r="12" spans="1:9" ht="29" x14ac:dyDescent="0.25">
      <c r="A12" s="63" t="s">
        <v>182</v>
      </c>
      <c r="B12" s="63" t="s">
        <v>80</v>
      </c>
      <c r="C12" s="63">
        <f>ParameterBestellungen2025</f>
        <v>10</v>
      </c>
      <c r="D12" s="63">
        <f>ParameterBestellungen2026</f>
        <v>100</v>
      </c>
      <c r="E12" s="63">
        <f>ParameterBestellungen2027</f>
        <v>250</v>
      </c>
      <c r="F12" s="63">
        <f>ParameterBestellungen2028</f>
        <v>500</v>
      </c>
      <c r="G12" s="75">
        <f>ParameterBestellungen2028</f>
        <v>500</v>
      </c>
      <c r="H12" s="75">
        <f>ParameterBestellungen2028</f>
        <v>500</v>
      </c>
      <c r="I12" s="62" t="s">
        <v>150</v>
      </c>
    </row>
    <row r="13" spans="1:9" ht="29" x14ac:dyDescent="0.25">
      <c r="A13" s="63" t="s">
        <v>183</v>
      </c>
      <c r="B13" s="63" t="s">
        <v>89</v>
      </c>
      <c r="C13" s="76">
        <v>0</v>
      </c>
      <c r="D13" s="61">
        <v>0.1</v>
      </c>
      <c r="E13" s="67">
        <f>D13</f>
        <v>0.1</v>
      </c>
      <c r="F13" s="67">
        <f t="shared" ref="F13:G13" si="2">E13</f>
        <v>0.1</v>
      </c>
      <c r="G13" s="67">
        <f t="shared" si="2"/>
        <v>0.1</v>
      </c>
      <c r="H13" s="67">
        <f>G13</f>
        <v>0.1</v>
      </c>
      <c r="I13" s="62" t="s">
        <v>149</v>
      </c>
    </row>
    <row r="14" spans="1:9" ht="29" x14ac:dyDescent="0.25">
      <c r="A14" s="98" t="s">
        <v>123</v>
      </c>
      <c r="B14" s="98" t="s">
        <v>244</v>
      </c>
      <c r="C14" s="102" t="s">
        <v>247</v>
      </c>
      <c r="D14" s="102" t="s">
        <v>248</v>
      </c>
      <c r="E14" s="102" t="s">
        <v>249</v>
      </c>
      <c r="F14" s="102" t="s">
        <v>250</v>
      </c>
      <c r="G14" s="102" t="s">
        <v>251</v>
      </c>
      <c r="H14" s="102" t="s">
        <v>252</v>
      </c>
      <c r="I14" s="99" t="s">
        <v>151</v>
      </c>
    </row>
    <row r="15" spans="1:9" ht="29" x14ac:dyDescent="0.25">
      <c r="A15" s="63" t="s">
        <v>169</v>
      </c>
      <c r="B15" s="63" t="s">
        <v>80</v>
      </c>
      <c r="C15" s="58">
        <f>ParameterAnzahlLandesbehörden</f>
        <v>1157</v>
      </c>
      <c r="D15" s="77">
        <f>C15</f>
        <v>1157</v>
      </c>
      <c r="E15" s="77">
        <f>D15</f>
        <v>1157</v>
      </c>
      <c r="F15" s="77">
        <f>E15</f>
        <v>1157</v>
      </c>
      <c r="G15" s="77">
        <f>F15</f>
        <v>1157</v>
      </c>
      <c r="H15" s="77">
        <f>G15</f>
        <v>1157</v>
      </c>
      <c r="I15" s="62" t="s">
        <v>152</v>
      </c>
    </row>
    <row r="16" spans="1:9" ht="72.5" x14ac:dyDescent="0.25">
      <c r="A16" s="63" t="s">
        <v>170</v>
      </c>
      <c r="C16" s="58"/>
      <c r="D16" s="58"/>
      <c r="E16" s="58"/>
      <c r="F16" s="58"/>
      <c r="G16" s="61">
        <f>Sensitivitäten!F30</f>
        <v>0.35</v>
      </c>
      <c r="H16" s="58"/>
      <c r="I16" s="62" t="s">
        <v>239</v>
      </c>
    </row>
    <row r="17" spans="1:9" ht="29" x14ac:dyDescent="0.25">
      <c r="A17" s="63" t="s">
        <v>211</v>
      </c>
      <c r="B17" s="63" t="s">
        <v>89</v>
      </c>
      <c r="C17" s="60">
        <v>0.01</v>
      </c>
      <c r="D17" s="60">
        <v>0.2</v>
      </c>
      <c r="E17" s="60">
        <v>0.45</v>
      </c>
      <c r="F17" s="60">
        <v>0.75</v>
      </c>
      <c r="G17" s="78">
        <v>1</v>
      </c>
      <c r="H17" s="78">
        <v>1</v>
      </c>
      <c r="I17" s="62" t="s">
        <v>240</v>
      </c>
    </row>
    <row r="18" spans="1:9" x14ac:dyDescent="0.25">
      <c r="A18" s="63" t="s">
        <v>171</v>
      </c>
      <c r="B18" s="63" t="s">
        <v>80</v>
      </c>
      <c r="C18" s="63">
        <v>0</v>
      </c>
      <c r="D18" s="63">
        <f>C21</f>
        <v>5</v>
      </c>
      <c r="E18" s="63">
        <f>D21</f>
        <v>81</v>
      </c>
      <c r="F18" s="63">
        <f>E21</f>
        <v>183</v>
      </c>
      <c r="G18" s="63">
        <f>F21</f>
        <v>304</v>
      </c>
      <c r="H18" s="63">
        <f>G21</f>
        <v>405</v>
      </c>
      <c r="I18" s="62" t="s">
        <v>155</v>
      </c>
    </row>
    <row r="19" spans="1:9" x14ac:dyDescent="0.25">
      <c r="A19" s="63" t="s">
        <v>172</v>
      </c>
      <c r="B19" s="63" t="s">
        <v>80</v>
      </c>
      <c r="C19" s="63">
        <f t="shared" ref="C19:H19" si="3">C21-C20-C18</f>
        <v>5</v>
      </c>
      <c r="D19" s="63">
        <f t="shared" si="3"/>
        <v>77</v>
      </c>
      <c r="E19" s="63">
        <f t="shared" si="3"/>
        <v>111</v>
      </c>
      <c r="F19" s="63">
        <f t="shared" si="3"/>
        <v>140</v>
      </c>
      <c r="G19" s="63">
        <f t="shared" si="3"/>
        <v>132</v>
      </c>
      <c r="H19" s="63">
        <f t="shared" si="3"/>
        <v>41</v>
      </c>
      <c r="I19" s="62" t="s">
        <v>156</v>
      </c>
    </row>
    <row r="20" spans="1:9" ht="29" x14ac:dyDescent="0.25">
      <c r="A20" s="63" t="s">
        <v>173</v>
      </c>
      <c r="B20" s="63" t="s">
        <v>80</v>
      </c>
      <c r="D20" s="63">
        <f>-ROUNDUP(D18*D$13,0)</f>
        <v>-1</v>
      </c>
      <c r="E20" s="63">
        <f>-ROUNDUP(E18*E$13,0)</f>
        <v>-9</v>
      </c>
      <c r="F20" s="63">
        <f>-ROUNDUP(F18*F$13,0)</f>
        <v>-19</v>
      </c>
      <c r="G20" s="63">
        <f>-ROUNDUP(G18*G$13,0)</f>
        <v>-31</v>
      </c>
      <c r="H20" s="63">
        <f>-ROUNDUP(H18*H$13,0)</f>
        <v>-41</v>
      </c>
      <c r="I20" s="62" t="s">
        <v>220</v>
      </c>
    </row>
    <row r="21" spans="1:9" x14ac:dyDescent="0.25">
      <c r="A21" s="63" t="s">
        <v>174</v>
      </c>
      <c r="B21" s="63" t="s">
        <v>80</v>
      </c>
      <c r="C21" s="63">
        <f t="shared" ref="C21:H21" si="4">ROUNDUP(C15*$G$16*C17,0)</f>
        <v>5</v>
      </c>
      <c r="D21" s="63">
        <f t="shared" si="4"/>
        <v>81</v>
      </c>
      <c r="E21" s="63">
        <f t="shared" si="4"/>
        <v>183</v>
      </c>
      <c r="F21" s="63">
        <f t="shared" si="4"/>
        <v>304</v>
      </c>
      <c r="G21" s="63">
        <f t="shared" si="4"/>
        <v>405</v>
      </c>
      <c r="H21" s="63">
        <f t="shared" si="4"/>
        <v>405</v>
      </c>
    </row>
    <row r="22" spans="1:9" ht="43.5" x14ac:dyDescent="0.25">
      <c r="A22" s="63" t="s">
        <v>175</v>
      </c>
      <c r="B22" s="63" t="s">
        <v>80</v>
      </c>
      <c r="C22" s="79">
        <f t="shared" ref="C22:H22" si="5">(C18+C21)/2</f>
        <v>2.5</v>
      </c>
      <c r="D22" s="79">
        <f t="shared" si="5"/>
        <v>43</v>
      </c>
      <c r="E22" s="79">
        <f t="shared" si="5"/>
        <v>132</v>
      </c>
      <c r="F22" s="79">
        <f t="shared" si="5"/>
        <v>243.5</v>
      </c>
      <c r="G22" s="79">
        <f t="shared" si="5"/>
        <v>354.5</v>
      </c>
      <c r="H22" s="79">
        <f t="shared" si="5"/>
        <v>405</v>
      </c>
      <c r="I22" s="62" t="s">
        <v>161</v>
      </c>
    </row>
    <row r="23" spans="1:9" ht="130.5" x14ac:dyDescent="0.25">
      <c r="A23" s="63" t="s">
        <v>176</v>
      </c>
      <c r="B23" s="63" t="s">
        <v>80</v>
      </c>
      <c r="C23" s="58">
        <f>ParameterAnzahlMALanedesbehörde</f>
        <v>2272.1694036300778</v>
      </c>
      <c r="D23" s="58">
        <f t="shared" ref="D23:H24" si="6">C23</f>
        <v>2272.1694036300778</v>
      </c>
      <c r="E23" s="58">
        <f t="shared" si="6"/>
        <v>2272.1694036300778</v>
      </c>
      <c r="F23" s="58">
        <f t="shared" si="6"/>
        <v>2272.1694036300778</v>
      </c>
      <c r="G23" s="58">
        <f t="shared" si="6"/>
        <v>2272.1694036300778</v>
      </c>
      <c r="H23" s="58">
        <f t="shared" si="6"/>
        <v>2272.1694036300778</v>
      </c>
      <c r="I23" s="62" t="s">
        <v>246</v>
      </c>
    </row>
    <row r="24" spans="1:9" ht="16.5" x14ac:dyDescent="0.25">
      <c r="A24" s="63" t="s">
        <v>177</v>
      </c>
      <c r="B24" s="63" t="s">
        <v>80</v>
      </c>
      <c r="C24" s="70">
        <f>C23</f>
        <v>2272.1694036300778</v>
      </c>
      <c r="D24" s="58">
        <f t="shared" si="6"/>
        <v>2272.1694036300778</v>
      </c>
      <c r="E24" s="58">
        <f t="shared" si="6"/>
        <v>2272.1694036300778</v>
      </c>
      <c r="F24" s="58">
        <f t="shared" si="6"/>
        <v>2272.1694036300778</v>
      </c>
      <c r="G24" s="58">
        <f t="shared" si="6"/>
        <v>2272.1694036300778</v>
      </c>
      <c r="H24" s="58">
        <f t="shared" si="6"/>
        <v>2272.1694036300778</v>
      </c>
      <c r="I24" s="62" t="s">
        <v>157</v>
      </c>
    </row>
    <row r="25" spans="1:9" ht="43.5" x14ac:dyDescent="0.25">
      <c r="A25" s="98" t="s">
        <v>154</v>
      </c>
      <c r="B25" s="98" t="s">
        <v>244</v>
      </c>
      <c r="C25" s="102" t="s">
        <v>247</v>
      </c>
      <c r="D25" s="102" t="s">
        <v>248</v>
      </c>
      <c r="E25" s="102" t="s">
        <v>249</v>
      </c>
      <c r="F25" s="102" t="s">
        <v>250</v>
      </c>
      <c r="G25" s="102" t="s">
        <v>251</v>
      </c>
      <c r="H25" s="102" t="s">
        <v>252</v>
      </c>
      <c r="I25" s="99" t="s">
        <v>158</v>
      </c>
    </row>
    <row r="26" spans="1:9" x14ac:dyDescent="0.25">
      <c r="A26" s="63" t="s">
        <v>171</v>
      </c>
      <c r="B26" s="63" t="s">
        <v>80</v>
      </c>
      <c r="C26" s="63">
        <v>0</v>
      </c>
      <c r="D26" s="63">
        <f>C29</f>
        <v>5</v>
      </c>
      <c r="E26" s="63">
        <f t="shared" ref="E26:H26" si="7">D29</f>
        <v>27</v>
      </c>
      <c r="F26" s="63">
        <f t="shared" si="7"/>
        <v>163</v>
      </c>
      <c r="G26" s="63">
        <f t="shared" si="7"/>
        <v>506</v>
      </c>
      <c r="H26" s="63">
        <f t="shared" si="7"/>
        <v>823</v>
      </c>
      <c r="I26" s="62" t="s">
        <v>159</v>
      </c>
    </row>
    <row r="27" spans="1:9" ht="29" x14ac:dyDescent="0.25">
      <c r="A27" s="63" t="s">
        <v>172</v>
      </c>
      <c r="B27" s="63" t="s">
        <v>80</v>
      </c>
      <c r="C27" s="63">
        <f t="shared" ref="C27:H27" si="8">C12-C19</f>
        <v>5</v>
      </c>
      <c r="D27" s="63">
        <f t="shared" si="8"/>
        <v>23</v>
      </c>
      <c r="E27" s="63">
        <f t="shared" si="8"/>
        <v>139</v>
      </c>
      <c r="F27" s="63">
        <f t="shared" si="8"/>
        <v>360</v>
      </c>
      <c r="G27" s="63">
        <f t="shared" si="8"/>
        <v>368</v>
      </c>
      <c r="H27" s="63">
        <f t="shared" si="8"/>
        <v>459</v>
      </c>
      <c r="I27" s="62" t="s">
        <v>160</v>
      </c>
    </row>
    <row r="28" spans="1:9" ht="29" x14ac:dyDescent="0.25">
      <c r="A28" s="63" t="s">
        <v>173</v>
      </c>
      <c r="B28" s="63" t="s">
        <v>80</v>
      </c>
      <c r="D28" s="63">
        <f>-ROUNDUP(D26*D$13,0)</f>
        <v>-1</v>
      </c>
      <c r="E28" s="63">
        <f>-ROUNDUP(E26*E$13,0)</f>
        <v>-3</v>
      </c>
      <c r="F28" s="63">
        <f>-ROUNDUP(F26*F$13,0)</f>
        <v>-17</v>
      </c>
      <c r="G28" s="63">
        <f>-ROUNDUP(G26*G$13,0)</f>
        <v>-51</v>
      </c>
      <c r="H28" s="63">
        <f>-ROUNDUP(H26*H$13,0)</f>
        <v>-83</v>
      </c>
      <c r="I28" s="62" t="s">
        <v>220</v>
      </c>
    </row>
    <row r="29" spans="1:9" x14ac:dyDescent="0.25">
      <c r="A29" s="63" t="s">
        <v>174</v>
      </c>
      <c r="B29" s="63" t="s">
        <v>80</v>
      </c>
      <c r="C29" s="63">
        <f>SUM(C26:C28)</f>
        <v>5</v>
      </c>
      <c r="D29" s="63">
        <f t="shared" ref="D29:H29" si="9">SUM(D26:D28)</f>
        <v>27</v>
      </c>
      <c r="E29" s="63">
        <f t="shared" si="9"/>
        <v>163</v>
      </c>
      <c r="F29" s="63">
        <f t="shared" si="9"/>
        <v>506</v>
      </c>
      <c r="G29" s="63">
        <f t="shared" si="9"/>
        <v>823</v>
      </c>
      <c r="H29" s="63">
        <f t="shared" si="9"/>
        <v>1199</v>
      </c>
    </row>
    <row r="30" spans="1:9" ht="43.5" x14ac:dyDescent="0.25">
      <c r="A30" s="80" t="s">
        <v>178</v>
      </c>
      <c r="B30" s="63" t="s">
        <v>80</v>
      </c>
      <c r="C30" s="77">
        <f t="shared" ref="C30:H30" si="10">(C26+C29)/2</f>
        <v>2.5</v>
      </c>
      <c r="D30" s="77">
        <f t="shared" si="10"/>
        <v>16</v>
      </c>
      <c r="E30" s="77">
        <f t="shared" si="10"/>
        <v>95</v>
      </c>
      <c r="F30" s="77">
        <f t="shared" si="10"/>
        <v>334.5</v>
      </c>
      <c r="G30" s="77">
        <f t="shared" si="10"/>
        <v>664.5</v>
      </c>
      <c r="H30" s="77">
        <f t="shared" si="10"/>
        <v>1011</v>
      </c>
      <c r="I30" s="62" t="s">
        <v>161</v>
      </c>
    </row>
    <row r="31" spans="1:9" ht="43.5" x14ac:dyDescent="0.25">
      <c r="A31" s="63" t="s">
        <v>179</v>
      </c>
      <c r="B31" s="63" t="s">
        <v>89</v>
      </c>
      <c r="C31" s="67">
        <f>1-C33-C32</f>
        <v>0.7</v>
      </c>
      <c r="D31" s="67">
        <f t="shared" ref="D31:H31" si="11">1-D33-D32</f>
        <v>0.7</v>
      </c>
      <c r="E31" s="67">
        <f t="shared" si="11"/>
        <v>0.7</v>
      </c>
      <c r="F31" s="67">
        <f t="shared" si="11"/>
        <v>0.7</v>
      </c>
      <c r="G31" s="67">
        <f t="shared" si="11"/>
        <v>0.7</v>
      </c>
      <c r="H31" s="67">
        <f t="shared" si="11"/>
        <v>0.7</v>
      </c>
      <c r="I31" s="62" t="s">
        <v>241</v>
      </c>
    </row>
    <row r="32" spans="1:9" ht="43.5" x14ac:dyDescent="0.25">
      <c r="A32" s="63" t="s">
        <v>180</v>
      </c>
      <c r="B32" s="63" t="s">
        <v>89</v>
      </c>
      <c r="C32" s="61">
        <v>0.2</v>
      </c>
      <c r="D32" s="67">
        <f>C32</f>
        <v>0.2</v>
      </c>
      <c r="E32" s="67">
        <f t="shared" ref="E32:H33" si="12">D32</f>
        <v>0.2</v>
      </c>
      <c r="F32" s="67">
        <f t="shared" si="12"/>
        <v>0.2</v>
      </c>
      <c r="G32" s="67">
        <f t="shared" si="12"/>
        <v>0.2</v>
      </c>
      <c r="H32" s="67">
        <f t="shared" si="12"/>
        <v>0.2</v>
      </c>
      <c r="I32" s="62" t="s">
        <v>242</v>
      </c>
    </row>
    <row r="33" spans="1:9" ht="43.5" x14ac:dyDescent="0.25">
      <c r="A33" s="63" t="s">
        <v>181</v>
      </c>
      <c r="B33" s="63" t="s">
        <v>89</v>
      </c>
      <c r="C33" s="61">
        <v>0.1</v>
      </c>
      <c r="D33" s="67">
        <f>C33</f>
        <v>0.1</v>
      </c>
      <c r="E33" s="67">
        <f t="shared" si="12"/>
        <v>0.1</v>
      </c>
      <c r="F33" s="67">
        <f t="shared" si="12"/>
        <v>0.1</v>
      </c>
      <c r="G33" s="67">
        <f t="shared" si="12"/>
        <v>0.1</v>
      </c>
      <c r="H33" s="67">
        <f t="shared" si="12"/>
        <v>0.1</v>
      </c>
      <c r="I33" s="62" t="s">
        <v>243</v>
      </c>
    </row>
    <row r="34" spans="1:9" ht="29" x14ac:dyDescent="0.25">
      <c r="A34" s="65" t="s">
        <v>162</v>
      </c>
      <c r="B34" s="65" t="s">
        <v>244</v>
      </c>
      <c r="C34" s="101" t="s">
        <v>247</v>
      </c>
      <c r="D34" s="101" t="s">
        <v>248</v>
      </c>
      <c r="E34" s="101" t="s">
        <v>249</v>
      </c>
      <c r="F34" s="101" t="s">
        <v>250</v>
      </c>
      <c r="G34" s="101" t="s">
        <v>251</v>
      </c>
      <c r="H34" s="101" t="s">
        <v>252</v>
      </c>
      <c r="I34" s="66" t="s">
        <v>51</v>
      </c>
    </row>
    <row r="35" spans="1:9" x14ac:dyDescent="0.25">
      <c r="A35" s="80" t="s">
        <v>121</v>
      </c>
      <c r="B35" s="63" t="s">
        <v>83</v>
      </c>
      <c r="C35" s="58">
        <f t="shared" ref="C35:H35" si="13">C24*C10</f>
        <v>17041.270527225584</v>
      </c>
      <c r="D35" s="58">
        <f t="shared" si="13"/>
        <v>17722.921348314609</v>
      </c>
      <c r="E35" s="58">
        <f t="shared" si="13"/>
        <v>18431.838202247196</v>
      </c>
      <c r="F35" s="58">
        <f t="shared" si="13"/>
        <v>19169.111730337085</v>
      </c>
      <c r="G35" s="58">
        <f t="shared" si="13"/>
        <v>19935.876199550567</v>
      </c>
      <c r="H35" s="58">
        <f t="shared" si="13"/>
        <v>20733.311247532591</v>
      </c>
      <c r="I35" s="62" t="s">
        <v>163</v>
      </c>
    </row>
    <row r="36" spans="1:9" x14ac:dyDescent="0.25">
      <c r="A36" s="80" t="s">
        <v>72</v>
      </c>
      <c r="B36" s="63" t="s">
        <v>83</v>
      </c>
      <c r="C36" s="58">
        <f>C7</f>
        <v>120</v>
      </c>
      <c r="D36" s="58">
        <f t="shared" ref="D36:H38" si="14">C36*(1+D$5)</f>
        <v>124.80000000000001</v>
      </c>
      <c r="E36" s="58">
        <f t="shared" si="14"/>
        <v>129.79200000000003</v>
      </c>
      <c r="F36" s="58">
        <f t="shared" si="14"/>
        <v>134.98368000000005</v>
      </c>
      <c r="G36" s="58">
        <f t="shared" si="14"/>
        <v>140.38302720000004</v>
      </c>
      <c r="H36" s="58">
        <f t="shared" si="14"/>
        <v>145.99834828800005</v>
      </c>
    </row>
    <row r="37" spans="1:9" x14ac:dyDescent="0.25">
      <c r="A37" s="80" t="s">
        <v>73</v>
      </c>
      <c r="B37" s="63" t="s">
        <v>83</v>
      </c>
      <c r="C37" s="58">
        <f>C8</f>
        <v>1200</v>
      </c>
      <c r="D37" s="58">
        <f t="shared" si="14"/>
        <v>1248</v>
      </c>
      <c r="E37" s="58">
        <f t="shared" si="14"/>
        <v>1297.92</v>
      </c>
      <c r="F37" s="58">
        <f t="shared" si="14"/>
        <v>1349.8368</v>
      </c>
      <c r="G37" s="58">
        <f t="shared" si="14"/>
        <v>1403.8302720000002</v>
      </c>
      <c r="H37" s="58">
        <f t="shared" si="14"/>
        <v>1459.9834828800001</v>
      </c>
    </row>
    <row r="38" spans="1:9" x14ac:dyDescent="0.25">
      <c r="A38" s="80" t="s">
        <v>74</v>
      </c>
      <c r="B38" s="63" t="s">
        <v>83</v>
      </c>
      <c r="C38" s="58">
        <f>C9</f>
        <v>7000</v>
      </c>
      <c r="D38" s="58">
        <f t="shared" si="14"/>
        <v>7280</v>
      </c>
      <c r="E38" s="58">
        <f t="shared" si="14"/>
        <v>7571.2</v>
      </c>
      <c r="F38" s="58">
        <f t="shared" si="14"/>
        <v>7874.0479999999998</v>
      </c>
      <c r="G38" s="58">
        <f t="shared" si="14"/>
        <v>8189.0099200000004</v>
      </c>
      <c r="H38" s="58">
        <f t="shared" si="14"/>
        <v>8516.5703168</v>
      </c>
    </row>
    <row r="39" spans="1:9" x14ac:dyDescent="0.25">
      <c r="A39" s="63" t="s">
        <v>118</v>
      </c>
      <c r="B39" s="63" t="s">
        <v>82</v>
      </c>
      <c r="C39" s="81">
        <f t="shared" ref="C39:H39" si="15">C35*C22*12</f>
        <v>511238.11581676756</v>
      </c>
      <c r="D39" s="81">
        <f t="shared" si="15"/>
        <v>9145027.4157303385</v>
      </c>
      <c r="E39" s="81">
        <f t="shared" si="15"/>
        <v>29196031.712359555</v>
      </c>
      <c r="F39" s="81">
        <f t="shared" si="15"/>
        <v>56012144.476044968</v>
      </c>
      <c r="G39" s="81">
        <f t="shared" si="15"/>
        <v>84807217.352888107</v>
      </c>
      <c r="H39" s="81">
        <f t="shared" si="15"/>
        <v>100763892.66300839</v>
      </c>
      <c r="I39" s="62" t="s">
        <v>164</v>
      </c>
    </row>
    <row r="40" spans="1:9" x14ac:dyDescent="0.25">
      <c r="A40" s="80" t="s">
        <v>76</v>
      </c>
      <c r="B40" s="63" t="s">
        <v>82</v>
      </c>
      <c r="C40" s="81">
        <f t="shared" ref="C40:H42" si="16">C$30*C31*C36*12</f>
        <v>2520</v>
      </c>
      <c r="D40" s="81">
        <f t="shared" si="16"/>
        <v>16773.12</v>
      </c>
      <c r="E40" s="81">
        <f t="shared" si="16"/>
        <v>103574.01600000002</v>
      </c>
      <c r="F40" s="81">
        <f t="shared" si="16"/>
        <v>379277.14406400011</v>
      </c>
      <c r="G40" s="81">
        <f t="shared" si="16"/>
        <v>783589.98122496018</v>
      </c>
      <c r="H40" s="81">
        <f t="shared" si="16"/>
        <v>1239876.3730010116</v>
      </c>
    </row>
    <row r="41" spans="1:9" x14ac:dyDescent="0.25">
      <c r="A41" s="80" t="s">
        <v>77</v>
      </c>
      <c r="B41" s="63" t="s">
        <v>82</v>
      </c>
      <c r="C41" s="81">
        <f t="shared" si="16"/>
        <v>7200</v>
      </c>
      <c r="D41" s="81">
        <f t="shared" si="16"/>
        <v>47923.200000000004</v>
      </c>
      <c r="E41" s="81">
        <f t="shared" si="16"/>
        <v>295925.76000000001</v>
      </c>
      <c r="F41" s="81">
        <f t="shared" si="16"/>
        <v>1083648.9830400001</v>
      </c>
      <c r="G41" s="81">
        <f t="shared" si="16"/>
        <v>2238828.5177856004</v>
      </c>
      <c r="H41" s="81">
        <f t="shared" si="16"/>
        <v>3542503.9228600329</v>
      </c>
    </row>
    <row r="42" spans="1:9" x14ac:dyDescent="0.25">
      <c r="A42" s="80" t="s">
        <v>78</v>
      </c>
      <c r="B42" s="63" t="s">
        <v>82</v>
      </c>
      <c r="C42" s="81">
        <f t="shared" si="16"/>
        <v>21000</v>
      </c>
      <c r="D42" s="81">
        <f t="shared" si="16"/>
        <v>139776</v>
      </c>
      <c r="E42" s="81">
        <f t="shared" si="16"/>
        <v>863116.79999999993</v>
      </c>
      <c r="F42" s="81">
        <f t="shared" si="16"/>
        <v>3160642.8672000002</v>
      </c>
      <c r="G42" s="81">
        <f t="shared" si="16"/>
        <v>6529916.5102080004</v>
      </c>
      <c r="H42" s="81">
        <f t="shared" si="16"/>
        <v>10332303.108341761</v>
      </c>
    </row>
    <row r="43" spans="1:9" ht="29.5" thickBot="1" x14ac:dyDescent="0.3">
      <c r="A43" s="63" t="s">
        <v>75</v>
      </c>
      <c r="B43" s="63" t="s">
        <v>82</v>
      </c>
      <c r="C43" s="82">
        <f>SUM(C39:C42)</f>
        <v>541958.11581676756</v>
      </c>
      <c r="D43" s="82">
        <f t="shared" ref="D43:H43" si="17">SUM(D39:D42)</f>
        <v>9349499.735730337</v>
      </c>
      <c r="E43" s="82">
        <f t="shared" si="17"/>
        <v>30458648.288359556</v>
      </c>
      <c r="F43" s="82">
        <f t="shared" si="17"/>
        <v>60635713.470348969</v>
      </c>
      <c r="G43" s="82">
        <f t="shared" si="17"/>
        <v>94359552.362106651</v>
      </c>
      <c r="H43" s="82">
        <f t="shared" si="17"/>
        <v>115878576.06721118</v>
      </c>
      <c r="I43" s="62" t="s">
        <v>165</v>
      </c>
    </row>
    <row r="44" spans="1:9" ht="15" thickTop="1" x14ac:dyDescent="0.25">
      <c r="A44" s="80" t="s">
        <v>81</v>
      </c>
      <c r="B44" s="63" t="s">
        <v>83</v>
      </c>
      <c r="C44" s="58">
        <f t="shared" ref="C44:H44" si="18">C43/(C30+C22)/12</f>
        <v>9032.6352636127922</v>
      </c>
      <c r="D44" s="58">
        <f t="shared" si="18"/>
        <v>13205.508101314035</v>
      </c>
      <c r="E44" s="58">
        <f t="shared" si="18"/>
        <v>11181.588945800131</v>
      </c>
      <c r="F44" s="58">
        <f t="shared" si="18"/>
        <v>8742.1732223686522</v>
      </c>
      <c r="G44" s="58">
        <f t="shared" si="18"/>
        <v>7716.6791267669823</v>
      </c>
      <c r="H44" s="58">
        <f t="shared" si="18"/>
        <v>6819.5960491531996</v>
      </c>
    </row>
    <row r="45" spans="1:9" x14ac:dyDescent="0.25">
      <c r="A45" s="80" t="s">
        <v>124</v>
      </c>
      <c r="B45" s="63" t="s">
        <v>83</v>
      </c>
      <c r="C45" s="58">
        <f t="shared" ref="C45:H45" si="19">SUM(C40:C42)/C30/12</f>
        <v>1024</v>
      </c>
      <c r="D45" s="58">
        <f t="shared" si="19"/>
        <v>1064.96</v>
      </c>
      <c r="E45" s="58">
        <f t="shared" si="19"/>
        <v>1107.5583999999999</v>
      </c>
      <c r="F45" s="58">
        <f t="shared" si="19"/>
        <v>1151.8607360000001</v>
      </c>
      <c r="G45" s="58">
        <f t="shared" si="19"/>
        <v>1197.93516544</v>
      </c>
      <c r="H45" s="58">
        <f t="shared" si="19"/>
        <v>1245.8525720576001</v>
      </c>
    </row>
    <row r="46" spans="1:9" ht="29" x14ac:dyDescent="0.25">
      <c r="A46" s="65" t="s">
        <v>63</v>
      </c>
      <c r="B46" s="65" t="s">
        <v>244</v>
      </c>
      <c r="C46" s="101" t="s">
        <v>247</v>
      </c>
      <c r="D46" s="101" t="s">
        <v>248</v>
      </c>
      <c r="E46" s="101" t="s">
        <v>249</v>
      </c>
      <c r="F46" s="101" t="s">
        <v>250</v>
      </c>
      <c r="G46" s="101" t="s">
        <v>251</v>
      </c>
      <c r="H46" s="101" t="s">
        <v>252</v>
      </c>
      <c r="I46" s="66" t="s">
        <v>51</v>
      </c>
    </row>
    <row r="47" spans="1:9" ht="58" x14ac:dyDescent="0.25">
      <c r="A47" s="63" t="s">
        <v>64</v>
      </c>
      <c r="B47" s="63" t="s">
        <v>89</v>
      </c>
      <c r="C47" s="64"/>
      <c r="D47" s="60">
        <f>Sensitivitäten!F8</f>
        <v>8.7383437596618152E-2</v>
      </c>
      <c r="E47" s="64">
        <f t="shared" ref="E47:H47" si="20">D47</f>
        <v>8.7383437596618152E-2</v>
      </c>
      <c r="F47" s="64">
        <f t="shared" si="20"/>
        <v>8.7383437596618152E-2</v>
      </c>
      <c r="G47" s="64">
        <f t="shared" si="20"/>
        <v>8.7383437596618152E-2</v>
      </c>
      <c r="H47" s="64">
        <f t="shared" si="20"/>
        <v>8.7383437596618152E-2</v>
      </c>
      <c r="I47" s="62" t="s">
        <v>192</v>
      </c>
    </row>
    <row r="48" spans="1:9" ht="29" x14ac:dyDescent="0.25">
      <c r="A48" s="63" t="s">
        <v>216</v>
      </c>
      <c r="B48" s="63" t="s">
        <v>89</v>
      </c>
      <c r="C48" s="67"/>
      <c r="D48" s="60">
        <v>0</v>
      </c>
      <c r="E48" s="64">
        <f t="shared" ref="E48" si="21">D48</f>
        <v>0</v>
      </c>
      <c r="F48" s="64">
        <f t="shared" ref="F48" si="22">E48</f>
        <v>0</v>
      </c>
      <c r="G48" s="64">
        <f t="shared" ref="G48" si="23">F48</f>
        <v>0</v>
      </c>
      <c r="H48" s="64">
        <f t="shared" ref="H48" si="24">G48</f>
        <v>0</v>
      </c>
      <c r="I48" s="62" t="s">
        <v>218</v>
      </c>
    </row>
    <row r="49" spans="1:9" ht="43.5" x14ac:dyDescent="0.25">
      <c r="A49" s="63" t="s">
        <v>216</v>
      </c>
      <c r="B49" s="63" t="s">
        <v>85</v>
      </c>
      <c r="C49" s="83"/>
      <c r="D49" s="83">
        <f>-SUM(D68,D73,D80)*D48</f>
        <v>0</v>
      </c>
      <c r="E49" s="83">
        <f>-SUM(E68,E73,E80)*E48</f>
        <v>0</v>
      </c>
      <c r="F49" s="83">
        <f>-SUM(F68,F73,F80)*F48</f>
        <v>0</v>
      </c>
      <c r="G49" s="83">
        <f>-SUM(G68,G73,G80)*G48</f>
        <v>0</v>
      </c>
      <c r="H49" s="83">
        <f>-SUM(H68,H73,H80)*H48</f>
        <v>0</v>
      </c>
      <c r="I49" s="62" t="s">
        <v>219</v>
      </c>
    </row>
    <row r="50" spans="1:9" ht="29" x14ac:dyDescent="0.25">
      <c r="A50" s="66" t="s">
        <v>224</v>
      </c>
      <c r="B50" s="65" t="s">
        <v>244</v>
      </c>
      <c r="C50" s="101" t="s">
        <v>247</v>
      </c>
      <c r="D50" s="101" t="s">
        <v>248</v>
      </c>
      <c r="E50" s="101" t="s">
        <v>249</v>
      </c>
      <c r="F50" s="101" t="s">
        <v>250</v>
      </c>
      <c r="G50" s="101" t="s">
        <v>251</v>
      </c>
      <c r="H50" s="101" t="s">
        <v>252</v>
      </c>
      <c r="I50" s="66" t="s">
        <v>51</v>
      </c>
    </row>
    <row r="51" spans="1:9" x14ac:dyDescent="0.25">
      <c r="A51" s="63" t="s">
        <v>88</v>
      </c>
      <c r="B51" s="63" t="s">
        <v>85</v>
      </c>
      <c r="C51" s="83">
        <f t="shared" ref="C51:H51" si="25">C43*C47</f>
        <v>0</v>
      </c>
      <c r="D51" s="83">
        <f t="shared" si="25"/>
        <v>816991.42671678984</v>
      </c>
      <c r="E51" s="83">
        <f t="shared" si="25"/>
        <v>2661581.3919832078</v>
      </c>
      <c r="F51" s="83">
        <f t="shared" si="25"/>
        <v>5298557.0841626581</v>
      </c>
      <c r="G51" s="83">
        <f t="shared" si="25"/>
        <v>8245462.0554789696</v>
      </c>
      <c r="H51" s="83">
        <f t="shared" si="25"/>
        <v>10125868.320554119</v>
      </c>
      <c r="I51" s="62" t="s">
        <v>221</v>
      </c>
    </row>
    <row r="52" spans="1:9" ht="43.5" x14ac:dyDescent="0.25">
      <c r="A52" s="63" t="s">
        <v>223</v>
      </c>
      <c r="B52" s="63" t="s">
        <v>85</v>
      </c>
      <c r="C52" s="83">
        <f t="shared" ref="C52:H52" si="26">SUM(C81:C82,C91)</f>
        <v>5775133.5999999996</v>
      </c>
      <c r="D52" s="83">
        <f t="shared" si="26"/>
        <v>6006138.9440000001</v>
      </c>
      <c r="E52" s="83">
        <f t="shared" si="26"/>
        <v>6246384.5017600004</v>
      </c>
      <c r="F52" s="83">
        <f t="shared" si="26"/>
        <v>6496239.8818304008</v>
      </c>
      <c r="G52" s="83">
        <f t="shared" si="26"/>
        <v>6756089.4771036161</v>
      </c>
      <c r="H52" s="83">
        <f t="shared" si="26"/>
        <v>7026333.056187761</v>
      </c>
      <c r="I52" s="62" t="s">
        <v>225</v>
      </c>
    </row>
    <row r="53" spans="1:9" x14ac:dyDescent="0.25">
      <c r="A53" s="63" t="s">
        <v>65</v>
      </c>
      <c r="B53" s="63" t="s">
        <v>85</v>
      </c>
      <c r="C53" s="83">
        <v>0</v>
      </c>
      <c r="D53" s="83">
        <v>0</v>
      </c>
      <c r="E53" s="83">
        <v>0</v>
      </c>
      <c r="F53" s="83">
        <v>0</v>
      </c>
      <c r="G53" s="83">
        <v>0</v>
      </c>
      <c r="H53" s="83">
        <v>0</v>
      </c>
      <c r="I53" s="62" t="s">
        <v>166</v>
      </c>
    </row>
    <row r="54" spans="1:9" x14ac:dyDescent="0.25">
      <c r="A54" s="84" t="s">
        <v>226</v>
      </c>
      <c r="B54" s="84" t="s">
        <v>85</v>
      </c>
      <c r="C54" s="85">
        <f t="shared" ref="C54:H54" si="27">SUM(C51:C53)</f>
        <v>5775133.5999999996</v>
      </c>
      <c r="D54" s="85">
        <f t="shared" si="27"/>
        <v>6823130.3707167897</v>
      </c>
      <c r="E54" s="85">
        <f t="shared" si="27"/>
        <v>8907965.8937432077</v>
      </c>
      <c r="F54" s="85">
        <f t="shared" si="27"/>
        <v>11794796.965993058</v>
      </c>
      <c r="G54" s="85">
        <f t="shared" si="27"/>
        <v>15001551.532582585</v>
      </c>
      <c r="H54" s="85">
        <f t="shared" si="27"/>
        <v>17152201.376741879</v>
      </c>
    </row>
    <row r="55" spans="1:9" x14ac:dyDescent="0.25">
      <c r="A55" s="63" t="str">
        <f>"Kosten "&amp;A92</f>
        <v>Kosten DVC Betrieb, Koordinierungsstelle, Weiterentwicklung</v>
      </c>
      <c r="B55" s="63" t="s">
        <v>85</v>
      </c>
      <c r="C55" s="83">
        <f>C92</f>
        <v>12823389.122</v>
      </c>
      <c r="D55" s="83">
        <f t="shared" ref="D55:H55" si="28">D92</f>
        <v>13336324.68688</v>
      </c>
      <c r="E55" s="83">
        <f t="shared" si="28"/>
        <v>13869777.674355201</v>
      </c>
      <c r="F55" s="83">
        <f t="shared" si="28"/>
        <v>14424568.781329408</v>
      </c>
      <c r="G55" s="83">
        <f t="shared" si="28"/>
        <v>15001551.532582585</v>
      </c>
      <c r="H55" s="83">
        <f t="shared" si="28"/>
        <v>15601613.593885891</v>
      </c>
      <c r="I55" s="62" t="s">
        <v>217</v>
      </c>
    </row>
    <row r="56" spans="1:9" ht="29.5" thickBot="1" x14ac:dyDescent="0.3">
      <c r="A56" s="63" t="s">
        <v>216</v>
      </c>
      <c r="B56" s="63" t="s">
        <v>85</v>
      </c>
      <c r="C56" s="83"/>
      <c r="D56" s="83">
        <f>D49</f>
        <v>0</v>
      </c>
      <c r="E56" s="83">
        <f>E49</f>
        <v>0</v>
      </c>
      <c r="F56" s="83">
        <f>F49</f>
        <v>0</v>
      </c>
      <c r="G56" s="83">
        <f>G49</f>
        <v>0</v>
      </c>
      <c r="H56" s="83">
        <f>H49</f>
        <v>0</v>
      </c>
      <c r="I56" s="62" t="s">
        <v>229</v>
      </c>
    </row>
    <row r="57" spans="1:9" ht="29.5" thickBot="1" x14ac:dyDescent="0.3">
      <c r="A57" s="86" t="s">
        <v>0</v>
      </c>
      <c r="B57" s="86" t="s">
        <v>85</v>
      </c>
      <c r="C57" s="87">
        <f>C54-C55-C56</f>
        <v>-7048255.5219999999</v>
      </c>
      <c r="D57" s="87">
        <f t="shared" ref="D57:H57" si="29">D54-D55-D56</f>
        <v>-6513194.3161632102</v>
      </c>
      <c r="E57" s="87">
        <f t="shared" si="29"/>
        <v>-4961811.7806119937</v>
      </c>
      <c r="F57" s="87">
        <f t="shared" si="29"/>
        <v>-2629771.8153363504</v>
      </c>
      <c r="G57" s="100">
        <f>G54-G55-G56</f>
        <v>0</v>
      </c>
      <c r="H57" s="87">
        <f t="shared" si="29"/>
        <v>1550587.7828559875</v>
      </c>
      <c r="I57" s="62" t="s">
        <v>167</v>
      </c>
    </row>
    <row r="58" spans="1:9" ht="29.5" thickTop="1" x14ac:dyDescent="0.25">
      <c r="A58" s="63" t="s">
        <v>227</v>
      </c>
      <c r="B58" s="63" t="s">
        <v>85</v>
      </c>
      <c r="C58" s="83">
        <f t="shared" ref="C58:H58" si="30">C52-C57</f>
        <v>12823389.122</v>
      </c>
      <c r="D58" s="83">
        <f t="shared" si="30"/>
        <v>12519333.26016321</v>
      </c>
      <c r="E58" s="83">
        <f t="shared" si="30"/>
        <v>11208196.282371994</v>
      </c>
      <c r="F58" s="83">
        <f t="shared" si="30"/>
        <v>9126011.6971667521</v>
      </c>
      <c r="G58" s="83">
        <f t="shared" si="30"/>
        <v>6756089.4771036161</v>
      </c>
      <c r="H58" s="83">
        <f t="shared" si="30"/>
        <v>5475745.2733317735</v>
      </c>
      <c r="I58" s="62" t="s">
        <v>228</v>
      </c>
    </row>
    <row r="59" spans="1:9" x14ac:dyDescent="0.25">
      <c r="A59" s="88" t="s">
        <v>84</v>
      </c>
      <c r="B59" s="63" t="s">
        <v>85</v>
      </c>
      <c r="C59" s="83">
        <f>C57</f>
        <v>-7048255.5219999999</v>
      </c>
      <c r="D59" s="83">
        <f>C59+D57</f>
        <v>-13561449.83816321</v>
      </c>
      <c r="E59" s="83">
        <f t="shared" ref="E59:H59" si="31">D59+E57</f>
        <v>-18523261.618775204</v>
      </c>
      <c r="F59" s="83">
        <f t="shared" si="31"/>
        <v>-21153033.434111554</v>
      </c>
      <c r="G59" s="83">
        <f t="shared" si="31"/>
        <v>-21153033.434111554</v>
      </c>
      <c r="H59" s="83">
        <f t="shared" si="31"/>
        <v>-19602445.651255567</v>
      </c>
    </row>
    <row r="60" spans="1:9" ht="43.5" x14ac:dyDescent="0.25">
      <c r="A60" s="65" t="s">
        <v>147</v>
      </c>
      <c r="B60" s="66" t="s">
        <v>253</v>
      </c>
      <c r="C60" s="101" t="s">
        <v>247</v>
      </c>
      <c r="D60" s="101" t="s">
        <v>248</v>
      </c>
      <c r="E60" s="101" t="s">
        <v>249</v>
      </c>
      <c r="F60" s="101" t="s">
        <v>250</v>
      </c>
      <c r="G60" s="101" t="s">
        <v>251</v>
      </c>
      <c r="H60" s="101" t="s">
        <v>252</v>
      </c>
      <c r="I60" s="62" t="s">
        <v>168</v>
      </c>
    </row>
    <row r="61" spans="1:9" x14ac:dyDescent="0.25">
      <c r="A61" s="63" t="s">
        <v>2</v>
      </c>
      <c r="B61" s="63" t="s">
        <v>1</v>
      </c>
      <c r="C61" s="83">
        <v>630700</v>
      </c>
      <c r="D61" s="83">
        <f t="shared" ref="D61:H67" si="32">C61*(1+D$5)</f>
        <v>655928</v>
      </c>
      <c r="E61" s="83">
        <f t="shared" si="32"/>
        <v>682165.12</v>
      </c>
      <c r="F61" s="83">
        <f t="shared" si="32"/>
        <v>709451.72479999997</v>
      </c>
      <c r="G61" s="83">
        <f t="shared" si="32"/>
        <v>737829.79379200004</v>
      </c>
      <c r="H61" s="83">
        <f t="shared" si="32"/>
        <v>767342.98554368003</v>
      </c>
    </row>
    <row r="62" spans="1:9" x14ac:dyDescent="0.25">
      <c r="A62" s="63" t="s">
        <v>4</v>
      </c>
      <c r="B62" s="63" t="s">
        <v>3</v>
      </c>
      <c r="C62" s="83">
        <v>88850.159999999989</v>
      </c>
      <c r="D62" s="83">
        <f t="shared" si="32"/>
        <v>92404.166399999987</v>
      </c>
      <c r="E62" s="83">
        <f t="shared" si="32"/>
        <v>96100.333055999989</v>
      </c>
      <c r="F62" s="83">
        <f t="shared" si="32"/>
        <v>99944.346378239992</v>
      </c>
      <c r="G62" s="83">
        <f t="shared" si="32"/>
        <v>103942.1202333696</v>
      </c>
      <c r="H62" s="83">
        <f t="shared" si="32"/>
        <v>108099.80504270439</v>
      </c>
    </row>
    <row r="63" spans="1:9" x14ac:dyDescent="0.25">
      <c r="A63" s="63" t="s">
        <v>6</v>
      </c>
      <c r="B63" s="63" t="s">
        <v>5</v>
      </c>
      <c r="C63" s="83">
        <v>148083.6</v>
      </c>
      <c r="D63" s="83">
        <f t="shared" si="32"/>
        <v>154006.94400000002</v>
      </c>
      <c r="E63" s="83">
        <f t="shared" si="32"/>
        <v>160167.22176000001</v>
      </c>
      <c r="F63" s="83">
        <f t="shared" si="32"/>
        <v>166573.91063040003</v>
      </c>
      <c r="G63" s="83">
        <f t="shared" si="32"/>
        <v>173236.86705561605</v>
      </c>
      <c r="H63" s="83">
        <f t="shared" si="32"/>
        <v>180166.3417378407</v>
      </c>
    </row>
    <row r="64" spans="1:9" x14ac:dyDescent="0.25">
      <c r="A64" s="63" t="s">
        <v>8</v>
      </c>
      <c r="B64" s="63" t="s">
        <v>7</v>
      </c>
      <c r="C64" s="83">
        <v>535500</v>
      </c>
      <c r="D64" s="83">
        <f t="shared" si="32"/>
        <v>556920</v>
      </c>
      <c r="E64" s="83">
        <f t="shared" si="32"/>
        <v>579196.80000000005</v>
      </c>
      <c r="F64" s="83">
        <f t="shared" si="32"/>
        <v>602364.67200000002</v>
      </c>
      <c r="G64" s="83">
        <f t="shared" si="32"/>
        <v>626459.2588800001</v>
      </c>
      <c r="H64" s="83">
        <f t="shared" si="32"/>
        <v>651517.62923520012</v>
      </c>
    </row>
    <row r="65" spans="1:8" x14ac:dyDescent="0.25">
      <c r="A65" s="63" t="s">
        <v>10</v>
      </c>
      <c r="B65" s="63" t="s">
        <v>9</v>
      </c>
      <c r="C65" s="83">
        <v>335008.8</v>
      </c>
      <c r="D65" s="83">
        <f t="shared" si="32"/>
        <v>348409.152</v>
      </c>
      <c r="E65" s="83">
        <f t="shared" si="32"/>
        <v>362345.51808000001</v>
      </c>
      <c r="F65" s="83">
        <f t="shared" si="32"/>
        <v>376839.33880320005</v>
      </c>
      <c r="G65" s="83">
        <f t="shared" si="32"/>
        <v>391912.9123553281</v>
      </c>
      <c r="H65" s="83">
        <f t="shared" si="32"/>
        <v>407589.42884954123</v>
      </c>
    </row>
    <row r="66" spans="1:8" x14ac:dyDescent="0.25">
      <c r="A66" s="63" t="s">
        <v>12</v>
      </c>
      <c r="B66" s="63" t="s">
        <v>11</v>
      </c>
      <c r="C66" s="83">
        <v>66640</v>
      </c>
      <c r="D66" s="83">
        <f t="shared" si="32"/>
        <v>69305.600000000006</v>
      </c>
      <c r="E66" s="83">
        <f t="shared" si="32"/>
        <v>72077.824000000008</v>
      </c>
      <c r="F66" s="83">
        <f t="shared" si="32"/>
        <v>74960.936960000006</v>
      </c>
      <c r="G66" s="83">
        <f t="shared" si="32"/>
        <v>77959.374438400017</v>
      </c>
      <c r="H66" s="83">
        <f t="shared" si="32"/>
        <v>81077.749415936021</v>
      </c>
    </row>
    <row r="67" spans="1:8" x14ac:dyDescent="0.25">
      <c r="A67" s="63" t="s">
        <v>14</v>
      </c>
      <c r="B67" s="63" t="s">
        <v>13</v>
      </c>
      <c r="C67" s="83">
        <v>90239.127999999997</v>
      </c>
      <c r="D67" s="83">
        <f t="shared" si="32"/>
        <v>93848.693119999996</v>
      </c>
      <c r="E67" s="83">
        <f t="shared" si="32"/>
        <v>97602.6408448</v>
      </c>
      <c r="F67" s="83">
        <f t="shared" si="32"/>
        <v>101506.746478592</v>
      </c>
      <c r="G67" s="83">
        <f t="shared" si="32"/>
        <v>105567.01633773568</v>
      </c>
      <c r="H67" s="83">
        <f t="shared" si="32"/>
        <v>109789.69699124512</v>
      </c>
    </row>
    <row r="68" spans="1:8" x14ac:dyDescent="0.25">
      <c r="A68" s="89" t="s">
        <v>15</v>
      </c>
      <c r="B68" s="89"/>
      <c r="C68" s="90">
        <f>SUM(C61:C67)</f>
        <v>1895021.6880000001</v>
      </c>
      <c r="D68" s="90">
        <f t="shared" ref="D68:H68" si="33">SUM(D61:D67)</f>
        <v>1970822.5555200002</v>
      </c>
      <c r="E68" s="90">
        <f t="shared" si="33"/>
        <v>2049655.4577408002</v>
      </c>
      <c r="F68" s="90">
        <f t="shared" si="33"/>
        <v>2131641.676050432</v>
      </c>
      <c r="G68" s="90">
        <f t="shared" si="33"/>
        <v>2216907.3430924495</v>
      </c>
      <c r="H68" s="90">
        <f t="shared" si="33"/>
        <v>2305583.6368161477</v>
      </c>
    </row>
    <row r="69" spans="1:8" x14ac:dyDescent="0.25">
      <c r="A69" s="63" t="s">
        <v>17</v>
      </c>
      <c r="B69" s="63" t="s">
        <v>16</v>
      </c>
      <c r="C69" s="83">
        <v>296167.2</v>
      </c>
      <c r="D69" s="83">
        <f t="shared" ref="D69:H72" si="34">C69*(1+D$5)</f>
        <v>308013.88800000004</v>
      </c>
      <c r="E69" s="83">
        <f t="shared" si="34"/>
        <v>320334.44352000003</v>
      </c>
      <c r="F69" s="83">
        <f t="shared" si="34"/>
        <v>333147.82126080006</v>
      </c>
      <c r="G69" s="83">
        <f t="shared" si="34"/>
        <v>346473.7341112321</v>
      </c>
      <c r="H69" s="83">
        <f t="shared" si="34"/>
        <v>360332.68347568141</v>
      </c>
    </row>
    <row r="70" spans="1:8" x14ac:dyDescent="0.25">
      <c r="A70" s="63" t="s">
        <v>19</v>
      </c>
      <c r="B70" s="63" t="s">
        <v>18</v>
      </c>
      <c r="C70" s="83">
        <v>148083.6</v>
      </c>
      <c r="D70" s="83">
        <f t="shared" si="34"/>
        <v>154006.94400000002</v>
      </c>
      <c r="E70" s="83">
        <f t="shared" si="34"/>
        <v>160167.22176000001</v>
      </c>
      <c r="F70" s="83">
        <f t="shared" si="34"/>
        <v>166573.91063040003</v>
      </c>
      <c r="G70" s="83">
        <f t="shared" si="34"/>
        <v>173236.86705561605</v>
      </c>
      <c r="H70" s="83">
        <f t="shared" si="34"/>
        <v>180166.3417378407</v>
      </c>
    </row>
    <row r="71" spans="1:8" x14ac:dyDescent="0.25">
      <c r="A71" s="63" t="s">
        <v>21</v>
      </c>
      <c r="B71" s="63" t="s">
        <v>20</v>
      </c>
      <c r="C71" s="83">
        <v>444250.8</v>
      </c>
      <c r="D71" s="83">
        <f t="shared" si="34"/>
        <v>462020.83199999999</v>
      </c>
      <c r="E71" s="83">
        <f t="shared" si="34"/>
        <v>480501.66528000002</v>
      </c>
      <c r="F71" s="83">
        <f t="shared" si="34"/>
        <v>499721.7318912</v>
      </c>
      <c r="G71" s="83">
        <f t="shared" si="34"/>
        <v>519710.60116684804</v>
      </c>
      <c r="H71" s="83">
        <f t="shared" si="34"/>
        <v>540499.02521352202</v>
      </c>
    </row>
    <row r="72" spans="1:8" x14ac:dyDescent="0.25">
      <c r="A72" s="63" t="s">
        <v>23</v>
      </c>
      <c r="B72" s="63" t="s">
        <v>22</v>
      </c>
      <c r="C72" s="83">
        <v>44425.079999999994</v>
      </c>
      <c r="D72" s="83">
        <f t="shared" si="34"/>
        <v>46202.083199999994</v>
      </c>
      <c r="E72" s="83">
        <f t="shared" si="34"/>
        <v>48050.166527999994</v>
      </c>
      <c r="F72" s="83">
        <f t="shared" si="34"/>
        <v>49972.173189119996</v>
      </c>
      <c r="G72" s="83">
        <f t="shared" si="34"/>
        <v>51971.060116684799</v>
      </c>
      <c r="H72" s="83">
        <f t="shared" si="34"/>
        <v>54049.902521352196</v>
      </c>
    </row>
    <row r="73" spans="1:8" x14ac:dyDescent="0.25">
      <c r="A73" s="89" t="s">
        <v>24</v>
      </c>
      <c r="B73" s="89"/>
      <c r="C73" s="90">
        <f>SUM(C69:C72)</f>
        <v>932926.68</v>
      </c>
      <c r="D73" s="90">
        <f t="shared" ref="D73:H73" si="35">SUM(D69:D72)</f>
        <v>970243.7472000001</v>
      </c>
      <c r="E73" s="90">
        <f t="shared" si="35"/>
        <v>1009053.4970880002</v>
      </c>
      <c r="F73" s="90">
        <f t="shared" si="35"/>
        <v>1049415.63697152</v>
      </c>
      <c r="G73" s="90">
        <f t="shared" si="35"/>
        <v>1091392.2624503809</v>
      </c>
      <c r="H73" s="90">
        <f t="shared" si="35"/>
        <v>1135047.9529483966</v>
      </c>
    </row>
    <row r="74" spans="1:8" x14ac:dyDescent="0.25">
      <c r="A74" s="63" t="s">
        <v>26</v>
      </c>
      <c r="B74" s="63" t="s">
        <v>25</v>
      </c>
      <c r="C74" s="83">
        <v>1802007.48</v>
      </c>
      <c r="D74" s="83">
        <f t="shared" ref="D74:H79" si="36">C74*(1+D$5)</f>
        <v>1874087.7792</v>
      </c>
      <c r="E74" s="83">
        <f t="shared" si="36"/>
        <v>1949051.290368</v>
      </c>
      <c r="F74" s="83">
        <f t="shared" si="36"/>
        <v>2027013.3419827202</v>
      </c>
      <c r="G74" s="83">
        <f t="shared" si="36"/>
        <v>2108093.8756620293</v>
      </c>
      <c r="H74" s="83">
        <f t="shared" si="36"/>
        <v>2192417.6306885104</v>
      </c>
    </row>
    <row r="75" spans="1:8" x14ac:dyDescent="0.25">
      <c r="A75" s="63" t="s">
        <v>28</v>
      </c>
      <c r="B75" s="63" t="s">
        <v>27</v>
      </c>
      <c r="C75" s="83">
        <v>555730</v>
      </c>
      <c r="D75" s="83">
        <f t="shared" si="36"/>
        <v>577959.20000000007</v>
      </c>
      <c r="E75" s="83">
        <f t="shared" si="36"/>
        <v>601077.56800000009</v>
      </c>
      <c r="F75" s="83">
        <f t="shared" si="36"/>
        <v>625120.67072000017</v>
      </c>
      <c r="G75" s="83">
        <f t="shared" si="36"/>
        <v>650125.49754880019</v>
      </c>
      <c r="H75" s="83">
        <f t="shared" si="36"/>
        <v>676130.5174507522</v>
      </c>
    </row>
    <row r="76" spans="1:8" x14ac:dyDescent="0.25">
      <c r="A76" s="63" t="s">
        <v>30</v>
      </c>
      <c r="B76" s="63" t="s">
        <v>29</v>
      </c>
      <c r="C76" s="83">
        <v>825431.6</v>
      </c>
      <c r="D76" s="83">
        <f t="shared" si="36"/>
        <v>858448.86400000006</v>
      </c>
      <c r="E76" s="83">
        <f t="shared" si="36"/>
        <v>892786.81856000004</v>
      </c>
      <c r="F76" s="83">
        <f t="shared" si="36"/>
        <v>928498.29130240006</v>
      </c>
      <c r="G76" s="83">
        <f t="shared" si="36"/>
        <v>965638.22295449604</v>
      </c>
      <c r="H76" s="83">
        <f t="shared" si="36"/>
        <v>1004263.751872676</v>
      </c>
    </row>
    <row r="77" spans="1:8" x14ac:dyDescent="0.25">
      <c r="A77" s="63" t="s">
        <v>32</v>
      </c>
      <c r="B77" s="63" t="s">
        <v>31</v>
      </c>
      <c r="C77" s="83">
        <v>167504.4</v>
      </c>
      <c r="D77" s="83">
        <f t="shared" si="36"/>
        <v>174204.576</v>
      </c>
      <c r="E77" s="83">
        <f t="shared" si="36"/>
        <v>181172.75904</v>
      </c>
      <c r="F77" s="83">
        <f t="shared" si="36"/>
        <v>188419.66940160003</v>
      </c>
      <c r="G77" s="83">
        <f t="shared" si="36"/>
        <v>195956.45617766405</v>
      </c>
      <c r="H77" s="83">
        <f t="shared" si="36"/>
        <v>203794.71442477062</v>
      </c>
    </row>
    <row r="78" spans="1:8" x14ac:dyDescent="0.25">
      <c r="A78" s="63" t="s">
        <v>23</v>
      </c>
      <c r="B78" s="63" t="s">
        <v>33</v>
      </c>
      <c r="C78" s="83">
        <v>167533.674</v>
      </c>
      <c r="D78" s="83">
        <f t="shared" si="36"/>
        <v>174235.02095999999</v>
      </c>
      <c r="E78" s="83">
        <f t="shared" si="36"/>
        <v>181204.4217984</v>
      </c>
      <c r="F78" s="83">
        <f t="shared" si="36"/>
        <v>188452.59867033601</v>
      </c>
      <c r="G78" s="83">
        <f t="shared" si="36"/>
        <v>195990.70261714945</v>
      </c>
      <c r="H78" s="83">
        <f t="shared" si="36"/>
        <v>203830.33072183543</v>
      </c>
    </row>
    <row r="79" spans="1:8" x14ac:dyDescent="0.25">
      <c r="A79" s="63" t="s">
        <v>35</v>
      </c>
      <c r="B79" s="63" t="s">
        <v>34</v>
      </c>
      <c r="C79" s="83">
        <v>702100</v>
      </c>
      <c r="D79" s="83">
        <f t="shared" si="36"/>
        <v>730184</v>
      </c>
      <c r="E79" s="83">
        <f t="shared" si="36"/>
        <v>759391.36</v>
      </c>
      <c r="F79" s="83">
        <f t="shared" si="36"/>
        <v>789767.01439999999</v>
      </c>
      <c r="G79" s="83">
        <f t="shared" si="36"/>
        <v>821357.694976</v>
      </c>
      <c r="H79" s="83">
        <f t="shared" si="36"/>
        <v>854212.00277503999</v>
      </c>
    </row>
    <row r="80" spans="1:8" x14ac:dyDescent="0.25">
      <c r="A80" s="89" t="s">
        <v>36</v>
      </c>
      <c r="B80" s="89"/>
      <c r="C80" s="90">
        <f>SUM(C74:C79)</f>
        <v>4220307.1540000001</v>
      </c>
      <c r="D80" s="90">
        <f t="shared" ref="D80:H80" si="37">SUM(D74:D79)</f>
        <v>4389119.4401599998</v>
      </c>
      <c r="E80" s="90">
        <f t="shared" si="37"/>
        <v>4564684.2177664004</v>
      </c>
      <c r="F80" s="90">
        <f t="shared" si="37"/>
        <v>4747271.5864770561</v>
      </c>
      <c r="G80" s="90">
        <f t="shared" si="37"/>
        <v>4937162.4499361385</v>
      </c>
      <c r="H80" s="90">
        <f t="shared" si="37"/>
        <v>5134648.9479335845</v>
      </c>
    </row>
    <row r="81" spans="1:9" x14ac:dyDescent="0.25">
      <c r="A81" s="63" t="s">
        <v>52</v>
      </c>
      <c r="C81" s="83">
        <v>624750</v>
      </c>
      <c r="D81" s="83">
        <f t="shared" ref="D81:H82" si="38">C81*(1+D$5)</f>
        <v>649740</v>
      </c>
      <c r="E81" s="83">
        <f t="shared" si="38"/>
        <v>675729.6</v>
      </c>
      <c r="F81" s="83">
        <f t="shared" si="38"/>
        <v>702758.78399999999</v>
      </c>
      <c r="G81" s="83">
        <f t="shared" si="38"/>
        <v>730869.13535999996</v>
      </c>
      <c r="H81" s="83">
        <f t="shared" si="38"/>
        <v>760103.90077439998</v>
      </c>
      <c r="I81" s="62" t="s">
        <v>223</v>
      </c>
    </row>
    <row r="82" spans="1:9" x14ac:dyDescent="0.25">
      <c r="A82" s="63" t="s">
        <v>54</v>
      </c>
      <c r="C82" s="83">
        <v>332502</v>
      </c>
      <c r="D82" s="83">
        <f t="shared" si="38"/>
        <v>345802.08</v>
      </c>
      <c r="E82" s="83">
        <f t="shared" si="38"/>
        <v>359634.16320000001</v>
      </c>
      <c r="F82" s="83">
        <f t="shared" si="38"/>
        <v>374019.52972799999</v>
      </c>
      <c r="G82" s="83">
        <f t="shared" si="38"/>
        <v>388980.31091712002</v>
      </c>
      <c r="H82" s="83">
        <f t="shared" si="38"/>
        <v>404539.52335380483</v>
      </c>
      <c r="I82" s="62" t="s">
        <v>223</v>
      </c>
    </row>
    <row r="83" spans="1:9" ht="15" thickBot="1" x14ac:dyDescent="0.3">
      <c r="A83" s="91" t="s">
        <v>55</v>
      </c>
      <c r="B83" s="91"/>
      <c r="C83" s="92">
        <f>SUM(C68,C73,C80:C82)</f>
        <v>8005507.5219999999</v>
      </c>
      <c r="D83" s="92">
        <f t="shared" ref="D83:H83" si="39">SUM(D68,D73,D80:D82)</f>
        <v>8325727.8228799999</v>
      </c>
      <c r="E83" s="92">
        <f t="shared" si="39"/>
        <v>8658756.935795201</v>
      </c>
      <c r="F83" s="92">
        <f t="shared" si="39"/>
        <v>9005107.2132270075</v>
      </c>
      <c r="G83" s="92">
        <f t="shared" si="39"/>
        <v>9365311.5017560888</v>
      </c>
      <c r="H83" s="92">
        <f t="shared" si="39"/>
        <v>9739923.9618263356</v>
      </c>
    </row>
    <row r="84" spans="1:9" x14ac:dyDescent="0.25">
      <c r="A84" s="63" t="s">
        <v>38</v>
      </c>
      <c r="B84" s="63" t="s">
        <v>37</v>
      </c>
      <c r="C84" s="83">
        <v>2252812.7999999998</v>
      </c>
      <c r="D84" s="83">
        <f t="shared" ref="D84:H88" si="40">C84*(1+D$5)</f>
        <v>2342925.3119999999</v>
      </c>
      <c r="E84" s="83">
        <f t="shared" si="40"/>
        <v>2436642.32448</v>
      </c>
      <c r="F84" s="83">
        <f t="shared" si="40"/>
        <v>2534108.0174592002</v>
      </c>
      <c r="G84" s="83">
        <f t="shared" si="40"/>
        <v>2635472.3381575681</v>
      </c>
      <c r="H84" s="83">
        <f t="shared" si="40"/>
        <v>2740891.2316838708</v>
      </c>
    </row>
    <row r="85" spans="1:9" x14ac:dyDescent="0.25">
      <c r="A85" s="63" t="s">
        <v>40</v>
      </c>
      <c r="B85" s="63" t="s">
        <v>39</v>
      </c>
      <c r="C85" s="83">
        <v>543782.40000000002</v>
      </c>
      <c r="D85" s="83">
        <f t="shared" si="40"/>
        <v>565533.696</v>
      </c>
      <c r="E85" s="83">
        <f t="shared" si="40"/>
        <v>588155.04384000006</v>
      </c>
      <c r="F85" s="83">
        <f t="shared" si="40"/>
        <v>611681.24559360009</v>
      </c>
      <c r="G85" s="83">
        <f t="shared" si="40"/>
        <v>636148.49541734415</v>
      </c>
      <c r="H85" s="83">
        <f t="shared" si="40"/>
        <v>661594.43523403793</v>
      </c>
    </row>
    <row r="86" spans="1:9" x14ac:dyDescent="0.25">
      <c r="A86" s="63" t="s">
        <v>42</v>
      </c>
      <c r="B86" s="63" t="s">
        <v>41</v>
      </c>
      <c r="C86" s="83">
        <v>640886.4</v>
      </c>
      <c r="D86" s="83">
        <f t="shared" si="40"/>
        <v>666521.85600000003</v>
      </c>
      <c r="E86" s="83">
        <f t="shared" si="40"/>
        <v>693182.73024000006</v>
      </c>
      <c r="F86" s="83">
        <f t="shared" si="40"/>
        <v>720910.03944960004</v>
      </c>
      <c r="G86" s="83">
        <f t="shared" si="40"/>
        <v>749746.44102758402</v>
      </c>
      <c r="H86" s="83">
        <f t="shared" si="40"/>
        <v>779736.29866868746</v>
      </c>
    </row>
    <row r="87" spans="1:9" x14ac:dyDescent="0.25">
      <c r="A87" s="63" t="s">
        <v>57</v>
      </c>
      <c r="B87" s="63" t="s">
        <v>43</v>
      </c>
      <c r="C87" s="83">
        <v>440300</v>
      </c>
      <c r="D87" s="83">
        <f t="shared" si="40"/>
        <v>457912</v>
      </c>
      <c r="E87" s="83">
        <f t="shared" si="40"/>
        <v>476228.48000000004</v>
      </c>
      <c r="F87" s="83">
        <f t="shared" si="40"/>
        <v>495277.61920000007</v>
      </c>
      <c r="G87" s="83">
        <f t="shared" si="40"/>
        <v>515088.72396800009</v>
      </c>
      <c r="H87" s="83">
        <f t="shared" si="40"/>
        <v>535692.27292672009</v>
      </c>
    </row>
    <row r="88" spans="1:9" x14ac:dyDescent="0.25">
      <c r="A88" s="63" t="s">
        <v>23</v>
      </c>
      <c r="B88" s="63" t="s">
        <v>44</v>
      </c>
      <c r="C88" s="83">
        <v>178500</v>
      </c>
      <c r="D88" s="83">
        <f t="shared" si="40"/>
        <v>185640</v>
      </c>
      <c r="E88" s="83">
        <f t="shared" si="40"/>
        <v>193065.60000000001</v>
      </c>
      <c r="F88" s="83">
        <f t="shared" si="40"/>
        <v>200788.22400000002</v>
      </c>
      <c r="G88" s="83">
        <f t="shared" si="40"/>
        <v>208819.75296000001</v>
      </c>
      <c r="H88" s="83">
        <f t="shared" si="40"/>
        <v>217172.54307840002</v>
      </c>
    </row>
    <row r="89" spans="1:9" x14ac:dyDescent="0.25">
      <c r="A89" s="89" t="s">
        <v>53</v>
      </c>
      <c r="B89" s="89"/>
      <c r="C89" s="90">
        <f>SUM(C84:C88)</f>
        <v>4056281.5999999996</v>
      </c>
      <c r="D89" s="90">
        <f t="shared" ref="D89:H89" si="41">SUM(D84:D88)</f>
        <v>4218532.8640000001</v>
      </c>
      <c r="E89" s="90">
        <f t="shared" si="41"/>
        <v>4387274.1785599999</v>
      </c>
      <c r="F89" s="90">
        <f t="shared" si="41"/>
        <v>4562765.1457024002</v>
      </c>
      <c r="G89" s="90">
        <f t="shared" si="41"/>
        <v>4745275.7515304964</v>
      </c>
      <c r="H89" s="90">
        <f t="shared" si="41"/>
        <v>4935086.7815917162</v>
      </c>
    </row>
    <row r="90" spans="1:9" x14ac:dyDescent="0.25">
      <c r="A90" s="63" t="s">
        <v>46</v>
      </c>
      <c r="B90" s="63" t="s">
        <v>45</v>
      </c>
      <c r="C90" s="83">
        <v>761600</v>
      </c>
      <c r="D90" s="83">
        <f>C90*(1+D$5)</f>
        <v>792064</v>
      </c>
      <c r="E90" s="83">
        <f>D90*(1+E$5)</f>
        <v>823746.56000000006</v>
      </c>
      <c r="F90" s="83">
        <f>E90*(1+F$5)</f>
        <v>856696.42240000004</v>
      </c>
      <c r="G90" s="83">
        <f>F90*(1+G$5)</f>
        <v>890964.27929600002</v>
      </c>
      <c r="H90" s="83">
        <f>G90*(1+H$5)</f>
        <v>926602.85046784009</v>
      </c>
    </row>
    <row r="91" spans="1:9" ht="15" thickBot="1" x14ac:dyDescent="0.3">
      <c r="A91" s="91" t="s">
        <v>47</v>
      </c>
      <c r="B91" s="91"/>
      <c r="C91" s="92">
        <f>SUM(C89:C90)</f>
        <v>4817881.5999999996</v>
      </c>
      <c r="D91" s="92">
        <f t="shared" ref="D91:H91" si="42">SUM(D89:D90)</f>
        <v>5010596.8640000001</v>
      </c>
      <c r="E91" s="92">
        <f t="shared" si="42"/>
        <v>5211020.7385600004</v>
      </c>
      <c r="F91" s="92">
        <f t="shared" si="42"/>
        <v>5419461.5681024007</v>
      </c>
      <c r="G91" s="92">
        <f t="shared" si="42"/>
        <v>5636240.030826496</v>
      </c>
      <c r="H91" s="92">
        <f t="shared" si="42"/>
        <v>5861689.6320595564</v>
      </c>
      <c r="I91" s="62" t="s">
        <v>223</v>
      </c>
    </row>
    <row r="92" spans="1:9" ht="15" thickBot="1" x14ac:dyDescent="0.3">
      <c r="A92" s="86" t="s">
        <v>56</v>
      </c>
      <c r="B92" s="86"/>
      <c r="C92" s="87">
        <f t="shared" ref="C92:H92" si="43">SUM(C83,C91)</f>
        <v>12823389.122</v>
      </c>
      <c r="D92" s="87">
        <f t="shared" si="43"/>
        <v>13336324.68688</v>
      </c>
      <c r="E92" s="87">
        <f t="shared" si="43"/>
        <v>13869777.674355201</v>
      </c>
      <c r="F92" s="87">
        <f t="shared" si="43"/>
        <v>14424568.781329408</v>
      </c>
      <c r="G92" s="87">
        <f t="shared" si="43"/>
        <v>15001551.532582585</v>
      </c>
      <c r="H92" s="87">
        <f t="shared" si="43"/>
        <v>15601613.593885891</v>
      </c>
    </row>
    <row r="93" spans="1:9" ht="15" thickTop="1" x14ac:dyDescent="0.25"/>
  </sheetData>
  <phoneticPr fontId="23" type="noConversion"/>
  <pageMargins left="0.39370078740157483" right="0" top="0.39370078740157483" bottom="0" header="0" footer="0"/>
  <pageSetup paperSize="9" scale="88" fitToHeight="0" orientation="landscape" r:id="rId1"/>
  <rowBreaks count="4" manualBreakCount="4">
    <brk id="13" max="16383" man="1"/>
    <brk id="24" max="16383" man="1"/>
    <brk id="45" max="16383" man="1"/>
    <brk id="5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5AA2B-B3D5-41C7-BF10-905D2F7E3542}">
  <sheetPr>
    <tabColor theme="5"/>
    <pageSetUpPr fitToPage="1"/>
  </sheetPr>
  <dimension ref="B1:N47"/>
  <sheetViews>
    <sheetView view="pageBreakPreview" zoomScale="60" zoomScaleNormal="110" workbookViewId="0">
      <selection activeCell="L41" sqref="L41"/>
    </sheetView>
  </sheetViews>
  <sheetFormatPr baseColWidth="10" defaultColWidth="10.81640625" defaultRowHeight="14.5" x14ac:dyDescent="0.4"/>
  <cols>
    <col min="1" max="1" width="2.54296875" style="4" customWidth="1"/>
    <col min="2" max="16384" width="10.81640625" style="4"/>
  </cols>
  <sheetData>
    <row r="1" spans="2:14" s="19" customFormat="1" x14ac:dyDescent="0.4">
      <c r="C1" s="34"/>
      <c r="J1" s="29"/>
    </row>
    <row r="2" spans="2:14" s="19" customFormat="1" x14ac:dyDescent="0.4">
      <c r="B2" s="97" t="s">
        <v>188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2:14" s="19" customFormat="1" x14ac:dyDescent="0.4">
      <c r="B3" s="95" t="s">
        <v>207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</row>
    <row r="4" spans="2:14" x14ac:dyDescent="0.4">
      <c r="B4" s="7"/>
    </row>
    <row r="5" spans="2:14" x14ac:dyDescent="0.4">
      <c r="B5" s="53" t="s">
        <v>191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2:14" ht="15" thickBot="1" x14ac:dyDescent="0.45">
      <c r="B6" s="7"/>
    </row>
    <row r="7" spans="2:14" ht="15" thickBot="1" x14ac:dyDescent="0.45">
      <c r="B7" s="4" t="s">
        <v>185</v>
      </c>
      <c r="F7" s="13">
        <v>7.5</v>
      </c>
      <c r="G7" s="4" t="s">
        <v>186</v>
      </c>
    </row>
    <row r="8" spans="2:14" ht="15" thickBot="1" x14ac:dyDescent="0.45">
      <c r="B8" s="4" t="s">
        <v>189</v>
      </c>
      <c r="F8" s="14">
        <v>8.7383437596618152E-2</v>
      </c>
      <c r="G8" s="4" t="s">
        <v>187</v>
      </c>
    </row>
    <row r="9" spans="2:14" x14ac:dyDescent="0.4">
      <c r="B9" s="4" t="s">
        <v>190</v>
      </c>
      <c r="F9" s="15">
        <f>Gesamtergebnis2029</f>
        <v>0</v>
      </c>
    </row>
    <row r="10" spans="2:14" x14ac:dyDescent="0.4">
      <c r="B10" s="7"/>
    </row>
    <row r="11" spans="2:14" x14ac:dyDescent="0.4">
      <c r="B11" s="7"/>
    </row>
    <row r="12" spans="2:14" x14ac:dyDescent="0.4">
      <c r="B12" s="16">
        <f>F9</f>
        <v>0</v>
      </c>
      <c r="C12" s="17">
        <v>0.05</v>
      </c>
      <c r="D12" s="17">
        <f t="shared" ref="D12:N12" si="0">C12+0.005</f>
        <v>5.5E-2</v>
      </c>
      <c r="E12" s="17">
        <f t="shared" si="0"/>
        <v>0.06</v>
      </c>
      <c r="F12" s="17">
        <f t="shared" si="0"/>
        <v>6.5000000000000002E-2</v>
      </c>
      <c r="G12" s="17">
        <f t="shared" si="0"/>
        <v>7.0000000000000007E-2</v>
      </c>
      <c r="H12" s="17">
        <f t="shared" si="0"/>
        <v>7.5000000000000011E-2</v>
      </c>
      <c r="I12" s="17">
        <f t="shared" si="0"/>
        <v>8.0000000000000016E-2</v>
      </c>
      <c r="J12" s="17">
        <f t="shared" si="0"/>
        <v>8.500000000000002E-2</v>
      </c>
      <c r="K12" s="17">
        <f t="shared" si="0"/>
        <v>9.0000000000000024E-2</v>
      </c>
      <c r="L12" s="17">
        <f t="shared" si="0"/>
        <v>9.5000000000000029E-2</v>
      </c>
      <c r="M12" s="17">
        <f t="shared" si="0"/>
        <v>0.10000000000000003</v>
      </c>
      <c r="N12" s="17">
        <f t="shared" si="0"/>
        <v>0.10500000000000004</v>
      </c>
    </row>
    <row r="13" spans="2:14" x14ac:dyDescent="0.4">
      <c r="B13" s="18">
        <v>5.5</v>
      </c>
      <c r="C13" s="15">
        <f t="dataTable" ref="C13:N25" dt2D="1" dtr="1" r1="F8" r2="F7"/>
        <v>-4658247.3354121428</v>
      </c>
      <c r="D13" s="15">
        <v>-4299525.8634054605</v>
      </c>
      <c r="E13" s="15">
        <v>-3940804.3913987782</v>
      </c>
      <c r="F13" s="15">
        <v>-3582082.9193920959</v>
      </c>
      <c r="G13" s="15">
        <v>-3223361.4473854117</v>
      </c>
      <c r="H13" s="15">
        <v>-2864639.9753787294</v>
      </c>
      <c r="I13" s="15">
        <v>-2505918.5033720471</v>
      </c>
      <c r="J13" s="15">
        <v>-2147197.0313653648</v>
      </c>
      <c r="K13" s="15">
        <v>-1788475.5593586825</v>
      </c>
      <c r="L13" s="15">
        <v>-1429754.0873519983</v>
      </c>
      <c r="M13" s="15">
        <v>-1071032.615345316</v>
      </c>
      <c r="N13" s="15">
        <v>-712311.14333863184</v>
      </c>
    </row>
    <row r="14" spans="2:14" x14ac:dyDescent="0.4">
      <c r="B14" s="18">
        <f t="shared" ref="B14:B25" si="1">B13+0.5</f>
        <v>6</v>
      </c>
      <c r="C14" s="15">
        <v>-4375556.610902518</v>
      </c>
      <c r="D14" s="15">
        <v>-3988566.0664448738</v>
      </c>
      <c r="E14" s="15">
        <v>-3601575.5219872296</v>
      </c>
      <c r="F14" s="15">
        <v>-3214584.9775295816</v>
      </c>
      <c r="G14" s="15">
        <v>-2827594.4330719374</v>
      </c>
      <c r="H14" s="15">
        <v>-2440603.8886142932</v>
      </c>
      <c r="I14" s="15">
        <v>-2053613.3441566471</v>
      </c>
      <c r="J14" s="15">
        <v>-1666622.799699001</v>
      </c>
      <c r="K14" s="15">
        <v>-1279632.2552413568</v>
      </c>
      <c r="L14" s="15">
        <v>-892641.7107837107</v>
      </c>
      <c r="M14" s="15">
        <v>-505651.16632606462</v>
      </c>
      <c r="N14" s="15">
        <v>-118660.62186842039</v>
      </c>
    </row>
    <row r="15" spans="2:14" x14ac:dyDescent="0.4">
      <c r="B15" s="18">
        <f t="shared" si="1"/>
        <v>6.5</v>
      </c>
      <c r="C15" s="15">
        <v>-4092865.8863928895</v>
      </c>
      <c r="D15" s="15">
        <v>-3677606.2694842815</v>
      </c>
      <c r="E15" s="15">
        <v>-3262346.6525756754</v>
      </c>
      <c r="F15" s="15">
        <v>-2847087.0356670655</v>
      </c>
      <c r="G15" s="15">
        <v>-2431827.4187584594</v>
      </c>
      <c r="H15" s="15">
        <v>-2016567.8018498495</v>
      </c>
      <c r="I15" s="15">
        <v>-1601308.1849412415</v>
      </c>
      <c r="J15" s="15">
        <v>-1186048.5680326335</v>
      </c>
      <c r="K15" s="15">
        <v>-770788.95112402551</v>
      </c>
      <c r="L15" s="15">
        <v>-355529.3342154175</v>
      </c>
      <c r="M15" s="15">
        <v>59730.282693192363</v>
      </c>
      <c r="N15" s="15">
        <v>474989.8996017985</v>
      </c>
    </row>
    <row r="16" spans="2:14" x14ac:dyDescent="0.4">
      <c r="B16" s="18">
        <f t="shared" si="1"/>
        <v>7</v>
      </c>
      <c r="C16" s="15">
        <v>-3810175.1618832629</v>
      </c>
      <c r="D16" s="15">
        <v>-3366646.472523693</v>
      </c>
      <c r="E16" s="15">
        <v>-2923117.7831641231</v>
      </c>
      <c r="F16" s="15">
        <v>-2479589.0938045513</v>
      </c>
      <c r="G16" s="15">
        <v>-2036060.4044449814</v>
      </c>
      <c r="H16" s="15">
        <v>-1592531.7150854096</v>
      </c>
      <c r="I16" s="15">
        <v>-1149003.0257258378</v>
      </c>
      <c r="J16" s="15">
        <v>-705474.33636626787</v>
      </c>
      <c r="K16" s="15">
        <v>-261945.64700669795</v>
      </c>
      <c r="L16" s="15">
        <v>181583.04235287383</v>
      </c>
      <c r="M16" s="15">
        <v>625111.73171244562</v>
      </c>
      <c r="N16" s="15">
        <v>1068640.4210720174</v>
      </c>
    </row>
    <row r="17" spans="2:14" x14ac:dyDescent="0.4">
      <c r="B17" s="18">
        <f t="shared" si="1"/>
        <v>7.5</v>
      </c>
      <c r="C17" s="15">
        <v>-3527484.4373736363</v>
      </c>
      <c r="D17" s="15">
        <v>-3055686.6755631026</v>
      </c>
      <c r="E17" s="15">
        <v>-2583888.9137525707</v>
      </c>
      <c r="F17" s="15">
        <v>-2112091.151942037</v>
      </c>
      <c r="G17" s="15">
        <v>-1640293.3901315033</v>
      </c>
      <c r="H17" s="15">
        <v>-1168495.6283209696</v>
      </c>
      <c r="I17" s="15">
        <v>-696697.86651043594</v>
      </c>
      <c r="J17" s="15">
        <v>-224900.10469990224</v>
      </c>
      <c r="K17" s="15">
        <v>246897.65711063147</v>
      </c>
      <c r="L17" s="15">
        <v>718695.41892116517</v>
      </c>
      <c r="M17" s="15">
        <v>1190493.1807316989</v>
      </c>
      <c r="N17" s="15">
        <v>1662290.9425422326</v>
      </c>
    </row>
    <row r="18" spans="2:14" x14ac:dyDescent="0.4">
      <c r="B18" s="18">
        <f t="shared" si="1"/>
        <v>8</v>
      </c>
      <c r="C18" s="15">
        <v>-3244793.7128640097</v>
      </c>
      <c r="D18" s="15">
        <v>-2744726.8786025122</v>
      </c>
      <c r="E18" s="15">
        <v>-2244660.0443410166</v>
      </c>
      <c r="F18" s="15">
        <v>-1744593.2100795209</v>
      </c>
      <c r="G18" s="15">
        <v>-1244526.3758180253</v>
      </c>
      <c r="H18" s="15">
        <v>-744459.5415565297</v>
      </c>
      <c r="I18" s="15">
        <v>-244392.70729503222</v>
      </c>
      <c r="J18" s="15">
        <v>255674.12696646526</v>
      </c>
      <c r="K18" s="15">
        <v>755740.96122796088</v>
      </c>
      <c r="L18" s="15">
        <v>1255807.7954894565</v>
      </c>
      <c r="M18" s="15">
        <v>1755874.6297509521</v>
      </c>
      <c r="N18" s="15">
        <v>2255941.4640124477</v>
      </c>
    </row>
    <row r="19" spans="2:14" x14ac:dyDescent="0.4">
      <c r="B19" s="18">
        <f t="shared" si="1"/>
        <v>8.5</v>
      </c>
      <c r="C19" s="15">
        <v>-2962102.9883543812</v>
      </c>
      <c r="D19" s="15">
        <v>-2433767.0816419236</v>
      </c>
      <c r="E19" s="15">
        <v>-1905431.1749294661</v>
      </c>
      <c r="F19" s="15">
        <v>-1377095.2682170067</v>
      </c>
      <c r="G19" s="15">
        <v>-848759.3615045473</v>
      </c>
      <c r="H19" s="15">
        <v>-320423.45479208976</v>
      </c>
      <c r="I19" s="15">
        <v>207912.4519203715</v>
      </c>
      <c r="J19" s="15">
        <v>736248.35863282904</v>
      </c>
      <c r="K19" s="15">
        <v>1264584.2653452866</v>
      </c>
      <c r="L19" s="15">
        <v>1792920.1720577478</v>
      </c>
      <c r="M19" s="15">
        <v>2321256.0787702054</v>
      </c>
      <c r="N19" s="15">
        <v>2849591.9854826666</v>
      </c>
    </row>
    <row r="20" spans="2:14" x14ac:dyDescent="0.4">
      <c r="B20" s="18">
        <f t="shared" si="1"/>
        <v>9</v>
      </c>
      <c r="C20" s="15">
        <v>-2679412.2638447545</v>
      </c>
      <c r="D20" s="15">
        <v>-2122807.2846813351</v>
      </c>
      <c r="E20" s="15">
        <v>-1566202.3055179138</v>
      </c>
      <c r="F20" s="15">
        <v>-1009597.3263544925</v>
      </c>
      <c r="G20" s="15">
        <v>-452992.34719106928</v>
      </c>
      <c r="H20" s="15">
        <v>103612.63197235018</v>
      </c>
      <c r="I20" s="15">
        <v>660217.61113577336</v>
      </c>
      <c r="J20" s="15">
        <v>1216822.5902991965</v>
      </c>
      <c r="K20" s="15">
        <v>1773427.569462616</v>
      </c>
      <c r="L20" s="15">
        <v>2330032.5486260392</v>
      </c>
      <c r="M20" s="15">
        <v>2886637.5277894586</v>
      </c>
      <c r="N20" s="15">
        <v>3443242.5069528818</v>
      </c>
    </row>
    <row r="21" spans="2:14" x14ac:dyDescent="0.4">
      <c r="B21" s="18">
        <f t="shared" si="1"/>
        <v>9.5</v>
      </c>
      <c r="C21" s="15">
        <v>-2396721.5393351279</v>
      </c>
      <c r="D21" s="15">
        <v>-1811847.4877207428</v>
      </c>
      <c r="E21" s="15">
        <v>-1226973.4361063614</v>
      </c>
      <c r="F21" s="15">
        <v>-642099.38449197635</v>
      </c>
      <c r="G21" s="15">
        <v>-57225.332877591252</v>
      </c>
      <c r="H21" s="15">
        <v>527648.71873679385</v>
      </c>
      <c r="I21" s="15">
        <v>1112522.7703511789</v>
      </c>
      <c r="J21" s="15">
        <v>1697396.821965564</v>
      </c>
      <c r="K21" s="15">
        <v>2282270.8735799454</v>
      </c>
      <c r="L21" s="15">
        <v>2867144.9251943305</v>
      </c>
      <c r="M21" s="15">
        <v>3452018.9768087156</v>
      </c>
      <c r="N21" s="15">
        <v>4036893.0284231007</v>
      </c>
    </row>
    <row r="22" spans="2:14" x14ac:dyDescent="0.4">
      <c r="B22" s="18">
        <f t="shared" si="1"/>
        <v>10</v>
      </c>
      <c r="C22" s="15">
        <v>-2114030.8148254994</v>
      </c>
      <c r="D22" s="15">
        <v>-1500887.6907601543</v>
      </c>
      <c r="E22" s="15">
        <v>-887744.56669480726</v>
      </c>
      <c r="F22" s="15">
        <v>-274601.44262946025</v>
      </c>
      <c r="G22" s="15">
        <v>338541.68143588677</v>
      </c>
      <c r="H22" s="15">
        <v>951684.80550123751</v>
      </c>
      <c r="I22" s="15">
        <v>1564827.9295665845</v>
      </c>
      <c r="J22" s="15">
        <v>2177971.0536319315</v>
      </c>
      <c r="K22" s="15">
        <v>2791114.1776972786</v>
      </c>
      <c r="L22" s="15">
        <v>3404257.3017626256</v>
      </c>
      <c r="M22" s="15">
        <v>4017400.4258279726</v>
      </c>
      <c r="N22" s="15">
        <v>4630543.5498933196</v>
      </c>
    </row>
    <row r="23" spans="2:14" x14ac:dyDescent="0.4">
      <c r="B23" s="18">
        <f t="shared" si="1"/>
        <v>10.5</v>
      </c>
      <c r="C23" s="15">
        <v>-1831340.0903158747</v>
      </c>
      <c r="D23" s="15">
        <v>-1189927.8937995657</v>
      </c>
      <c r="E23" s="15">
        <v>-548515.6972832568</v>
      </c>
      <c r="F23" s="15">
        <v>92896.499233052135</v>
      </c>
      <c r="G23" s="15">
        <v>734308.69574936107</v>
      </c>
      <c r="H23" s="15">
        <v>1375720.8922656737</v>
      </c>
      <c r="I23" s="15">
        <v>2017133.0887819827</v>
      </c>
      <c r="J23" s="15">
        <v>2658545.2852982916</v>
      </c>
      <c r="K23" s="15">
        <v>3299957.4818146005</v>
      </c>
      <c r="L23" s="15">
        <v>3941369.6783309132</v>
      </c>
      <c r="M23" s="15">
        <v>4582781.8748472221</v>
      </c>
      <c r="N23" s="15">
        <v>5224194.0713635311</v>
      </c>
    </row>
    <row r="24" spans="2:14" x14ac:dyDescent="0.4">
      <c r="B24" s="18">
        <f t="shared" si="1"/>
        <v>11</v>
      </c>
      <c r="C24" s="15">
        <v>-1548649.3658062462</v>
      </c>
      <c r="D24" s="15">
        <v>-878968.09683897346</v>
      </c>
      <c r="E24" s="15">
        <v>-209286.82787170261</v>
      </c>
      <c r="F24" s="15">
        <v>460394.44109557196</v>
      </c>
      <c r="G24" s="15">
        <v>1130075.7100628428</v>
      </c>
      <c r="H24" s="15">
        <v>1799756.9790301174</v>
      </c>
      <c r="I24" s="15">
        <v>2469438.2479973882</v>
      </c>
      <c r="J24" s="15">
        <v>3139119.5169646628</v>
      </c>
      <c r="K24" s="15">
        <v>3808800.7859319337</v>
      </c>
      <c r="L24" s="15">
        <v>4478482.0548992082</v>
      </c>
      <c r="M24" s="15">
        <v>5148163.3238664791</v>
      </c>
      <c r="N24" s="15">
        <v>5817844.5928337537</v>
      </c>
    </row>
    <row r="25" spans="2:14" x14ac:dyDescent="0.4">
      <c r="B25" s="18">
        <f t="shared" si="1"/>
        <v>11.5</v>
      </c>
      <c r="C25" s="15">
        <v>-1265958.6412966195</v>
      </c>
      <c r="D25" s="15">
        <v>-568008.29987838492</v>
      </c>
      <c r="E25" s="15">
        <v>129942.04153984971</v>
      </c>
      <c r="F25" s="15">
        <v>827892.38295808434</v>
      </c>
      <c r="G25" s="15">
        <v>1525842.7243763208</v>
      </c>
      <c r="H25" s="15">
        <v>2223793.0657945573</v>
      </c>
      <c r="I25" s="15">
        <v>2921743.4072127901</v>
      </c>
      <c r="J25" s="15">
        <v>3619693.7486310266</v>
      </c>
      <c r="K25" s="15">
        <v>4317644.0900492631</v>
      </c>
      <c r="L25" s="15">
        <v>5015594.4314674959</v>
      </c>
      <c r="M25" s="15">
        <v>5713544.7728857324</v>
      </c>
      <c r="N25" s="15">
        <v>6411495.1143039688</v>
      </c>
    </row>
    <row r="28" spans="2:14" x14ac:dyDescent="0.4">
      <c r="B28" s="12" t="s">
        <v>208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2:14" ht="15" thickBot="1" x14ac:dyDescent="0.45"/>
    <row r="30" spans="2:14" ht="15" thickBot="1" x14ac:dyDescent="0.45">
      <c r="B30" s="4" t="s">
        <v>206</v>
      </c>
      <c r="F30" s="51">
        <v>0.35</v>
      </c>
    </row>
    <row r="31" spans="2:14" ht="15" thickBot="1" x14ac:dyDescent="0.45">
      <c r="B31" s="4" t="s">
        <v>189</v>
      </c>
      <c r="F31" s="14">
        <f>F8</f>
        <v>8.7383437596618152E-2</v>
      </c>
      <c r="G31" s="4" t="s">
        <v>187</v>
      </c>
    </row>
    <row r="32" spans="2:14" x14ac:dyDescent="0.4">
      <c r="B32" s="4" t="s">
        <v>190</v>
      </c>
      <c r="F32" s="15">
        <f>Gesamtergebnis2029</f>
        <v>0</v>
      </c>
    </row>
    <row r="34" spans="2:14" x14ac:dyDescent="0.4">
      <c r="B34" s="16">
        <f>F32</f>
        <v>0</v>
      </c>
      <c r="C34" s="17">
        <v>0.05</v>
      </c>
      <c r="D34" s="17">
        <f t="shared" ref="D34:N34" si="2">C34+0.005</f>
        <v>5.5E-2</v>
      </c>
      <c r="E34" s="17">
        <f t="shared" si="2"/>
        <v>0.06</v>
      </c>
      <c r="F34" s="17">
        <f t="shared" si="2"/>
        <v>6.5000000000000002E-2</v>
      </c>
      <c r="G34" s="17">
        <f t="shared" si="2"/>
        <v>7.0000000000000007E-2</v>
      </c>
      <c r="H34" s="17">
        <f t="shared" si="2"/>
        <v>7.5000000000000011E-2</v>
      </c>
      <c r="I34" s="17">
        <f t="shared" si="2"/>
        <v>8.0000000000000016E-2</v>
      </c>
      <c r="J34" s="17">
        <f t="shared" si="2"/>
        <v>8.500000000000002E-2</v>
      </c>
      <c r="K34" s="17">
        <f t="shared" si="2"/>
        <v>9.0000000000000024E-2</v>
      </c>
      <c r="L34" s="17">
        <f t="shared" si="2"/>
        <v>9.5000000000000029E-2</v>
      </c>
      <c r="M34" s="17">
        <f t="shared" si="2"/>
        <v>0.10000000000000003</v>
      </c>
      <c r="N34" s="17">
        <f t="shared" si="2"/>
        <v>0.10500000000000004</v>
      </c>
    </row>
    <row r="35" spans="2:14" x14ac:dyDescent="0.4">
      <c r="B35" s="52">
        <v>0.2</v>
      </c>
      <c r="C35" s="15">
        <f t="dataTable" ref="C35:N47" dt2D="1" dtr="1" r1="F8" r2="F30" ca="1"/>
        <v>-5230763.2773742862</v>
      </c>
      <c r="D35" s="15">
        <v>-4929293.3995638173</v>
      </c>
      <c r="E35" s="15">
        <v>-4627823.5217533484</v>
      </c>
      <c r="F35" s="15">
        <v>-4326353.6439428814</v>
      </c>
      <c r="G35" s="15">
        <v>-4024883.7661324125</v>
      </c>
      <c r="H35" s="15">
        <v>-3723413.8883219436</v>
      </c>
      <c r="I35" s="15">
        <v>-3421944.0105114747</v>
      </c>
      <c r="J35" s="15">
        <v>-3120474.1327010058</v>
      </c>
      <c r="K35" s="15">
        <v>-2819004.2548905388</v>
      </c>
      <c r="L35" s="15">
        <v>-2517534.377080068</v>
      </c>
      <c r="M35" s="15">
        <v>-2216064.499269601</v>
      </c>
      <c r="N35" s="15">
        <v>-1914594.6214591321</v>
      </c>
    </row>
    <row r="36" spans="2:14" x14ac:dyDescent="0.4">
      <c r="B36" s="52">
        <f>B35+0.05</f>
        <v>0.25</v>
      </c>
      <c r="C36" s="15">
        <v>-4662284.902941471</v>
      </c>
      <c r="D36" s="15">
        <v>-4303967.1876877211</v>
      </c>
      <c r="E36" s="15">
        <v>-3945649.4724339731</v>
      </c>
      <c r="F36" s="15">
        <v>-3587331.7571802214</v>
      </c>
      <c r="G36" s="15">
        <v>-3229014.0419264734</v>
      </c>
      <c r="H36" s="15">
        <v>-2870696.3266727217</v>
      </c>
      <c r="I36" s="15">
        <v>-2512378.6114189718</v>
      </c>
      <c r="J36" s="15">
        <v>-2154060.8961652219</v>
      </c>
      <c r="K36" s="15">
        <v>-1795743.1809114721</v>
      </c>
      <c r="L36" s="15">
        <v>-1437425.4656577222</v>
      </c>
      <c r="M36" s="15">
        <v>-1079107.7504039723</v>
      </c>
      <c r="N36" s="15">
        <v>-720790.03515022248</v>
      </c>
    </row>
    <row r="37" spans="2:14" x14ac:dyDescent="0.4">
      <c r="B37" s="52">
        <f t="shared" ref="B37:B47" si="3">B36+0.05</f>
        <v>0.3</v>
      </c>
      <c r="C37" s="15">
        <v>-4088544.5267480556</v>
      </c>
      <c r="D37" s="15">
        <v>-3672852.7738749646</v>
      </c>
      <c r="E37" s="15">
        <v>-3257161.0210018735</v>
      </c>
      <c r="F37" s="15">
        <v>-2841469.2681287825</v>
      </c>
      <c r="G37" s="15">
        <v>-2425777.5152556896</v>
      </c>
      <c r="H37" s="15">
        <v>-2010085.7623825986</v>
      </c>
      <c r="I37" s="15">
        <v>-1594394.0095095076</v>
      </c>
      <c r="J37" s="15">
        <v>-1178702.2566364147</v>
      </c>
      <c r="K37" s="15">
        <v>-763010.50376332365</v>
      </c>
      <c r="L37" s="15">
        <v>-347318.75089023262</v>
      </c>
      <c r="M37" s="15">
        <v>68373.001982860267</v>
      </c>
      <c r="N37" s="15">
        <v>484064.75485594943</v>
      </c>
    </row>
    <row r="38" spans="2:14" x14ac:dyDescent="0.4">
      <c r="B38" s="52">
        <f t="shared" si="3"/>
        <v>0.35</v>
      </c>
      <c r="C38" s="15">
        <v>-3527484.4373736363</v>
      </c>
      <c r="D38" s="15">
        <v>-3055686.6755631026</v>
      </c>
      <c r="E38" s="15">
        <v>-2583888.9137525707</v>
      </c>
      <c r="F38" s="15">
        <v>-2112091.151942037</v>
      </c>
      <c r="G38" s="15">
        <v>-1640293.3901315033</v>
      </c>
      <c r="H38" s="15">
        <v>-1168495.6283209696</v>
      </c>
      <c r="I38" s="15">
        <v>-696697.86651043594</v>
      </c>
      <c r="J38" s="15">
        <v>-224900.10469990224</v>
      </c>
      <c r="K38" s="15">
        <v>246897.65711063147</v>
      </c>
      <c r="L38" s="15">
        <v>718695.41892116517</v>
      </c>
      <c r="M38" s="15">
        <v>1190493.1807316989</v>
      </c>
      <c r="N38" s="15">
        <v>1662290.9425422326</v>
      </c>
    </row>
    <row r="39" spans="2:14" x14ac:dyDescent="0.4">
      <c r="B39" s="52">
        <f t="shared" si="3"/>
        <v>0.39999999999999997</v>
      </c>
      <c r="C39" s="15">
        <v>-2953384.680630587</v>
      </c>
      <c r="D39" s="15">
        <v>-2424176.9431457501</v>
      </c>
      <c r="E39" s="15">
        <v>-1894969.2056609131</v>
      </c>
      <c r="F39" s="15">
        <v>-1365761.4681760743</v>
      </c>
      <c r="G39" s="15">
        <v>-836553.73069123551</v>
      </c>
      <c r="H39" s="15">
        <v>-307345.9932063967</v>
      </c>
      <c r="I39" s="15">
        <v>221861.74427844211</v>
      </c>
      <c r="J39" s="15">
        <v>751069.48176328093</v>
      </c>
      <c r="K39" s="15">
        <v>1280277.2192481197</v>
      </c>
      <c r="L39" s="15">
        <v>1809484.9567329586</v>
      </c>
      <c r="M39" s="15">
        <v>2338692.6942177974</v>
      </c>
      <c r="N39" s="15">
        <v>2867900.4317026362</v>
      </c>
    </row>
    <row r="40" spans="2:14" x14ac:dyDescent="0.4">
      <c r="B40" s="52">
        <f t="shared" si="3"/>
        <v>0.44999999999999996</v>
      </c>
      <c r="C40" s="15">
        <v>-2386343.8283963017</v>
      </c>
      <c r="D40" s="15">
        <v>-1800432.005688034</v>
      </c>
      <c r="E40" s="15">
        <v>-1214520.1829797681</v>
      </c>
      <c r="F40" s="15">
        <v>-628608.36027150042</v>
      </c>
      <c r="G40" s="15">
        <v>-42696.537563234568</v>
      </c>
      <c r="H40" s="15">
        <v>543215.28514503315</v>
      </c>
      <c r="I40" s="15">
        <v>1129127.1078533009</v>
      </c>
      <c r="J40" s="15">
        <v>1715038.9305615686</v>
      </c>
      <c r="K40" s="15">
        <v>2300950.7532698363</v>
      </c>
      <c r="L40" s="15">
        <v>2886862.575978104</v>
      </c>
      <c r="M40" s="15">
        <v>3472774.3986863717</v>
      </c>
      <c r="N40" s="15">
        <v>4058686.2213946357</v>
      </c>
    </row>
    <row r="41" spans="2:14" x14ac:dyDescent="0.4">
      <c r="B41" s="52">
        <f t="shared" si="3"/>
        <v>0.49999999999999994</v>
      </c>
      <c r="C41" s="15">
        <v>-1817865.4539634865</v>
      </c>
      <c r="D41" s="15">
        <v>-1175105.7938119397</v>
      </c>
      <c r="E41" s="15">
        <v>-532346.13366039097</v>
      </c>
      <c r="F41" s="15">
        <v>110413.52649115771</v>
      </c>
      <c r="G41" s="15">
        <v>753173.18664270639</v>
      </c>
      <c r="H41" s="15">
        <v>1395932.8467942551</v>
      </c>
      <c r="I41" s="15">
        <v>2038692.5069458038</v>
      </c>
      <c r="J41" s="15">
        <v>2681452.1670973524</v>
      </c>
      <c r="K41" s="15">
        <v>3324211.8272489011</v>
      </c>
      <c r="L41" s="15">
        <v>3966971.4874004498</v>
      </c>
      <c r="M41" s="15">
        <v>4609731.1475519985</v>
      </c>
      <c r="N41" s="15">
        <v>5252490.8077035472</v>
      </c>
    </row>
    <row r="42" spans="2:14" x14ac:dyDescent="0.4">
      <c r="B42" s="52">
        <f t="shared" si="3"/>
        <v>0.54999999999999993</v>
      </c>
      <c r="C42" s="15">
        <v>-1243765.697220441</v>
      </c>
      <c r="D42" s="15">
        <v>-543596.06139458716</v>
      </c>
      <c r="E42" s="15">
        <v>156573.57443126291</v>
      </c>
      <c r="F42" s="15">
        <v>856743.21025711671</v>
      </c>
      <c r="G42" s="15">
        <v>1556912.8460829705</v>
      </c>
      <c r="H42" s="15">
        <v>2257082.4819088243</v>
      </c>
      <c r="I42" s="15">
        <v>2957252.1177346781</v>
      </c>
      <c r="J42" s="15">
        <v>3657421.7535605319</v>
      </c>
      <c r="K42" s="15">
        <v>4357591.3893863857</v>
      </c>
      <c r="L42" s="15">
        <v>5057761.0252122395</v>
      </c>
      <c r="M42" s="15">
        <v>5757930.6610380895</v>
      </c>
      <c r="N42" s="15">
        <v>6458100.2968639433</v>
      </c>
    </row>
    <row r="43" spans="2:14" x14ac:dyDescent="0.4">
      <c r="B43" s="52">
        <f t="shared" si="3"/>
        <v>0.6</v>
      </c>
      <c r="C43" s="15">
        <v>-676365.46443651989</v>
      </c>
      <c r="D43" s="15">
        <v>80544.19466772303</v>
      </c>
      <c r="E43" s="15">
        <v>837453.85377196595</v>
      </c>
      <c r="F43" s="15">
        <v>1594363.5128762126</v>
      </c>
      <c r="G43" s="15">
        <v>2351273.1719804592</v>
      </c>
      <c r="H43" s="15">
        <v>3108182.8310847022</v>
      </c>
      <c r="I43" s="15">
        <v>3865092.4901889488</v>
      </c>
      <c r="J43" s="15">
        <v>4622002.1492931955</v>
      </c>
      <c r="K43" s="15">
        <v>5378911.8083974384</v>
      </c>
      <c r="L43" s="15">
        <v>6135821.467501685</v>
      </c>
      <c r="M43" s="15">
        <v>6892731.1266059317</v>
      </c>
      <c r="N43" s="15">
        <v>7649640.7857101746</v>
      </c>
    </row>
    <row r="44" spans="2:14" x14ac:dyDescent="0.4">
      <c r="B44" s="52">
        <f t="shared" si="3"/>
        <v>0.65</v>
      </c>
      <c r="C44" s="15">
        <v>-102625.08824310638</v>
      </c>
      <c r="D44" s="15">
        <v>711658.60848047957</v>
      </c>
      <c r="E44" s="15">
        <v>1525942.3052040637</v>
      </c>
      <c r="F44" s="15">
        <v>2340226.0019276515</v>
      </c>
      <c r="G44" s="15">
        <v>3154509.6986512393</v>
      </c>
      <c r="H44" s="15">
        <v>3968793.3953748271</v>
      </c>
      <c r="I44" s="15">
        <v>4783077.0920984112</v>
      </c>
      <c r="J44" s="15">
        <v>5597360.788821999</v>
      </c>
      <c r="K44" s="15">
        <v>6411644.4855455868</v>
      </c>
      <c r="L44" s="15">
        <v>7225928.1822691746</v>
      </c>
      <c r="M44" s="15">
        <v>8040211.8789927587</v>
      </c>
      <c r="N44" s="15">
        <v>8854495.5757163465</v>
      </c>
    </row>
    <row r="45" spans="2:14" x14ac:dyDescent="0.4">
      <c r="B45" s="52">
        <f t="shared" si="3"/>
        <v>0.70000000000000007</v>
      </c>
      <c r="C45" s="15">
        <v>459513.14278021082</v>
      </c>
      <c r="D45" s="15">
        <v>1330010.6626061276</v>
      </c>
      <c r="E45" s="15">
        <v>2200508.1824320443</v>
      </c>
      <c r="F45" s="15">
        <v>3071005.702257961</v>
      </c>
      <c r="G45" s="15">
        <v>3941503.2220838815</v>
      </c>
      <c r="H45" s="15">
        <v>4812000.7419097982</v>
      </c>
      <c r="I45" s="15">
        <v>5682498.2617357187</v>
      </c>
      <c r="J45" s="15">
        <v>6552995.7815616354</v>
      </c>
      <c r="K45" s="15">
        <v>7423493.3013875559</v>
      </c>
      <c r="L45" s="15">
        <v>8293990.8212134726</v>
      </c>
      <c r="M45" s="15">
        <v>9164488.3410393931</v>
      </c>
      <c r="N45" s="15">
        <v>10034985.860865314</v>
      </c>
    </row>
    <row r="46" spans="2:14" x14ac:dyDescent="0.4">
      <c r="B46" s="52">
        <f t="shared" si="3"/>
        <v>0.75000000000000011</v>
      </c>
      <c r="C46" s="15">
        <v>1026913.3755641282</v>
      </c>
      <c r="D46" s="15">
        <v>1954150.9186684377</v>
      </c>
      <c r="E46" s="15">
        <v>2881388.4617727473</v>
      </c>
      <c r="F46" s="15">
        <v>3808626.0048770569</v>
      </c>
      <c r="G46" s="15">
        <v>4735863.5479813665</v>
      </c>
      <c r="H46" s="15">
        <v>5663101.0910856761</v>
      </c>
      <c r="I46" s="15">
        <v>6590338.6341899894</v>
      </c>
      <c r="J46" s="15">
        <v>7517576.177294299</v>
      </c>
      <c r="K46" s="15">
        <v>8444813.7203986086</v>
      </c>
      <c r="L46" s="15">
        <v>9372051.2635029182</v>
      </c>
      <c r="M46" s="15">
        <v>10299288.806607231</v>
      </c>
      <c r="N46" s="15">
        <v>11226526.349711541</v>
      </c>
    </row>
    <row r="47" spans="2:14" x14ac:dyDescent="0.4">
      <c r="B47" s="52">
        <f t="shared" si="3"/>
        <v>0.80000000000000016</v>
      </c>
      <c r="C47" s="15">
        <v>1601372.5128568076</v>
      </c>
      <c r="D47" s="15">
        <v>2586055.9696903862</v>
      </c>
      <c r="E47" s="15">
        <v>3570739.4265239649</v>
      </c>
      <c r="F47" s="15">
        <v>4555422.8833575435</v>
      </c>
      <c r="G47" s="15">
        <v>5540106.3401911221</v>
      </c>
      <c r="H47" s="15">
        <v>6524789.7970247008</v>
      </c>
      <c r="I47" s="15">
        <v>7509473.2538582794</v>
      </c>
      <c r="J47" s="15">
        <v>8494156.7106918581</v>
      </c>
      <c r="K47" s="15">
        <v>9478840.1675254367</v>
      </c>
      <c r="L47" s="15">
        <v>10463523.624359015</v>
      </c>
      <c r="M47" s="15">
        <v>11448207.081192594</v>
      </c>
      <c r="N47" s="15">
        <v>12432890.538026173</v>
      </c>
    </row>
  </sheetData>
  <mergeCells count="2">
    <mergeCell ref="B2:N2"/>
    <mergeCell ref="B3:N3"/>
  </mergeCells>
  <conditionalFormatting sqref="C13:N25">
    <cfRule type="cellIs" dxfId="1" priority="2" operator="between">
      <formula>-500000</formula>
      <formula>500000</formula>
    </cfRule>
  </conditionalFormatting>
  <conditionalFormatting sqref="C35:N47">
    <cfRule type="cellIs" dxfId="0" priority="1" operator="between">
      <formula>-500000</formula>
      <formula>500000</formula>
    </cfRule>
  </conditionalFormatting>
  <pageMargins left="0.25" right="0.25" top="0.75" bottom="0.75" header="0.3" footer="0.3"/>
  <pageSetup paperSize="9" fitToHeight="0" orientation="landscape" r:id="rId1"/>
  <rowBreaks count="1" manualBreakCount="1">
    <brk id="2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DBA6B-52CC-4727-8228-ACBC5D1B04C5}">
  <sheetPr>
    <tabColor theme="6"/>
    <pageSetUpPr fitToPage="1"/>
  </sheetPr>
  <dimension ref="A1:I58"/>
  <sheetViews>
    <sheetView zoomScaleNormal="100" zoomScaleSheetLayoutView="80" workbookViewId="0">
      <selection activeCell="D13" sqref="D13"/>
    </sheetView>
  </sheetViews>
  <sheetFormatPr baseColWidth="10" defaultColWidth="11.453125" defaultRowHeight="14.5" x14ac:dyDescent="0.4"/>
  <cols>
    <col min="1" max="1" width="67.54296875" style="34" bestFit="1" customWidth="1"/>
    <col min="2" max="6" width="11.36328125" style="19" customWidth="1"/>
    <col min="7" max="7" width="6.26953125" style="19" bestFit="1" customWidth="1"/>
    <col min="8" max="8" width="6.26953125" style="19" customWidth="1"/>
    <col min="9" max="9" width="87.36328125" style="29" bestFit="1" customWidth="1"/>
    <col min="10" max="16384" width="11.453125" style="19"/>
  </cols>
  <sheetData>
    <row r="1" spans="1:9" x14ac:dyDescent="0.4">
      <c r="A1" s="96" t="s">
        <v>133</v>
      </c>
      <c r="B1" s="96"/>
      <c r="C1" s="96"/>
      <c r="D1" s="96"/>
      <c r="E1" s="96"/>
      <c r="F1" s="96"/>
      <c r="G1" s="96"/>
      <c r="H1" s="96"/>
      <c r="I1" s="96"/>
    </row>
    <row r="2" spans="1:9" x14ac:dyDescent="0.4">
      <c r="A2" s="95" t="s">
        <v>134</v>
      </c>
      <c r="B2" s="95"/>
      <c r="C2" s="95"/>
      <c r="D2" s="95"/>
      <c r="E2" s="95"/>
      <c r="F2" s="95"/>
      <c r="G2" s="95"/>
      <c r="H2" s="95"/>
      <c r="I2" s="95"/>
    </row>
    <row r="4" spans="1:9" x14ac:dyDescent="0.4">
      <c r="A4" s="20" t="s">
        <v>135</v>
      </c>
      <c r="B4" s="21"/>
      <c r="C4" s="21"/>
      <c r="D4" s="21"/>
      <c r="E4" s="21"/>
      <c r="F4" s="21"/>
      <c r="G4" s="21"/>
      <c r="H4" s="21"/>
      <c r="I4" s="22"/>
    </row>
    <row r="6" spans="1:9" x14ac:dyDescent="0.4">
      <c r="A6" s="23" t="s">
        <v>116</v>
      </c>
      <c r="B6" s="24"/>
      <c r="C6" s="25"/>
      <c r="D6" s="25"/>
      <c r="E6" s="25"/>
      <c r="F6" s="25"/>
      <c r="G6" s="25"/>
      <c r="H6" s="25"/>
      <c r="I6" s="26" t="s">
        <v>51</v>
      </c>
    </row>
    <row r="7" spans="1:9" x14ac:dyDescent="0.4">
      <c r="A7" s="24" t="s">
        <v>136</v>
      </c>
      <c r="B7" s="24"/>
      <c r="C7" s="25"/>
      <c r="D7" s="25"/>
      <c r="E7" s="25"/>
      <c r="F7" s="25"/>
      <c r="G7" s="25"/>
      <c r="H7" s="25"/>
      <c r="I7" s="26"/>
    </row>
    <row r="8" spans="1:9" ht="29" x14ac:dyDescent="0.4">
      <c r="A8" s="27"/>
      <c r="B8" s="106" t="s">
        <v>90</v>
      </c>
      <c r="C8" s="107" t="s">
        <v>112</v>
      </c>
      <c r="D8" s="107" t="s">
        <v>113</v>
      </c>
      <c r="E8" s="107" t="s">
        <v>114</v>
      </c>
      <c r="F8" s="108" t="s">
        <v>254</v>
      </c>
    </row>
    <row r="9" spans="1:9" x14ac:dyDescent="0.4">
      <c r="A9" s="30" t="s">
        <v>90</v>
      </c>
      <c r="B9" s="31">
        <v>5270000</v>
      </c>
      <c r="C9" s="31">
        <v>524700</v>
      </c>
      <c r="D9" s="31">
        <v>2628900</v>
      </c>
      <c r="E9" s="31">
        <v>1738700</v>
      </c>
      <c r="F9" s="31">
        <v>377600</v>
      </c>
      <c r="I9" s="59" t="s">
        <v>111</v>
      </c>
    </row>
    <row r="10" spans="1:9" x14ac:dyDescent="0.4">
      <c r="A10" s="32" t="s">
        <v>91</v>
      </c>
      <c r="B10" s="33">
        <v>1756000</v>
      </c>
      <c r="C10" s="33">
        <v>421800</v>
      </c>
      <c r="D10" s="33">
        <v>798800</v>
      </c>
      <c r="E10" s="33">
        <v>535400</v>
      </c>
      <c r="F10" s="33"/>
    </row>
    <row r="11" spans="1:9" x14ac:dyDescent="0.4">
      <c r="A11" s="32" t="s">
        <v>92</v>
      </c>
      <c r="B11" s="33">
        <v>588200</v>
      </c>
      <c r="C11" s="33">
        <v>43800</v>
      </c>
      <c r="D11" s="33">
        <v>163300</v>
      </c>
      <c r="E11" s="33">
        <v>381000</v>
      </c>
      <c r="F11" s="33"/>
    </row>
    <row r="12" spans="1:9" ht="43.5" x14ac:dyDescent="0.4">
      <c r="A12" s="32" t="s">
        <v>93</v>
      </c>
      <c r="B12" s="33">
        <v>9100</v>
      </c>
      <c r="C12" s="33">
        <v>9100</v>
      </c>
      <c r="D12" s="32">
        <v>100</v>
      </c>
      <c r="E12" s="32"/>
      <c r="F12" s="33"/>
      <c r="I12" s="57" t="s">
        <v>245</v>
      </c>
    </row>
    <row r="13" spans="1:9" ht="43.5" x14ac:dyDescent="0.4">
      <c r="A13" s="32" t="s">
        <v>94</v>
      </c>
      <c r="B13" s="33">
        <v>242000</v>
      </c>
      <c r="C13" s="33">
        <v>242000</v>
      </c>
      <c r="D13" s="32"/>
      <c r="E13" s="32"/>
      <c r="F13" s="33"/>
      <c r="I13" s="57" t="s">
        <v>245</v>
      </c>
    </row>
    <row r="14" spans="1:9" ht="43.5" x14ac:dyDescent="0.4">
      <c r="A14" s="32" t="s">
        <v>95</v>
      </c>
      <c r="B14" s="33">
        <v>533100</v>
      </c>
      <c r="C14" s="33">
        <v>68500</v>
      </c>
      <c r="D14" s="33">
        <v>310800</v>
      </c>
      <c r="E14" s="33">
        <v>153700</v>
      </c>
      <c r="F14" s="33"/>
      <c r="I14" s="57" t="s">
        <v>245</v>
      </c>
    </row>
    <row r="15" spans="1:9" x14ac:dyDescent="0.4">
      <c r="A15" s="32" t="s">
        <v>96</v>
      </c>
      <c r="B15" s="33">
        <v>352100</v>
      </c>
      <c r="C15" s="33">
        <v>62100</v>
      </c>
      <c r="D15" s="33">
        <v>290000</v>
      </c>
      <c r="E15" s="32"/>
      <c r="F15" s="33"/>
    </row>
    <row r="16" spans="1:9" x14ac:dyDescent="0.4">
      <c r="A16" s="32" t="s">
        <v>97</v>
      </c>
      <c r="B16" s="33">
        <v>186200</v>
      </c>
      <c r="C16" s="33">
        <v>5800</v>
      </c>
      <c r="D16" s="33">
        <v>180400</v>
      </c>
      <c r="E16" s="32"/>
      <c r="F16" s="33"/>
    </row>
    <row r="17" spans="1:9" x14ac:dyDescent="0.4">
      <c r="A17" s="32" t="s">
        <v>98</v>
      </c>
      <c r="B17" s="33">
        <v>197400</v>
      </c>
      <c r="C17" s="33">
        <v>52600</v>
      </c>
      <c r="D17" s="33">
        <v>144100</v>
      </c>
      <c r="E17" s="32">
        <v>600</v>
      </c>
      <c r="F17" s="33"/>
    </row>
    <row r="18" spans="1:9" x14ac:dyDescent="0.4">
      <c r="A18" s="32" t="s">
        <v>99</v>
      </c>
      <c r="B18" s="33">
        <v>1826900</v>
      </c>
      <c r="C18" s="33">
        <v>18600</v>
      </c>
      <c r="D18" s="33">
        <v>1613000</v>
      </c>
      <c r="E18" s="33">
        <v>195300</v>
      </c>
      <c r="F18" s="33"/>
    </row>
    <row r="19" spans="1:9" x14ac:dyDescent="0.4">
      <c r="A19" s="32" t="s">
        <v>100</v>
      </c>
      <c r="B19" s="33">
        <v>1028400</v>
      </c>
      <c r="C19" s="32"/>
      <c r="D19" s="33">
        <v>910400</v>
      </c>
      <c r="E19" s="33">
        <v>118000</v>
      </c>
      <c r="F19" s="33"/>
    </row>
    <row r="20" spans="1:9" x14ac:dyDescent="0.4">
      <c r="A20" s="32" t="s">
        <v>101</v>
      </c>
      <c r="B20" s="33">
        <v>621900</v>
      </c>
      <c r="C20" s="33">
        <v>1000</v>
      </c>
      <c r="D20" s="33">
        <v>620900</v>
      </c>
      <c r="E20" s="32"/>
      <c r="F20" s="33"/>
    </row>
    <row r="21" spans="1:9" x14ac:dyDescent="0.4">
      <c r="A21" s="32" t="s">
        <v>102</v>
      </c>
      <c r="B21" s="33">
        <v>920300</v>
      </c>
      <c r="C21" s="33">
        <v>11400</v>
      </c>
      <c r="D21" s="33">
        <v>35300</v>
      </c>
      <c r="E21" s="33">
        <v>496000</v>
      </c>
      <c r="F21" s="33">
        <v>377600</v>
      </c>
    </row>
    <row r="22" spans="1:9" x14ac:dyDescent="0.4">
      <c r="A22" s="32" t="s">
        <v>103</v>
      </c>
      <c r="B22" s="33">
        <v>295600</v>
      </c>
      <c r="C22" s="32"/>
      <c r="D22" s="33">
        <v>10300</v>
      </c>
      <c r="E22" s="33">
        <v>285300</v>
      </c>
      <c r="F22" s="33"/>
    </row>
    <row r="23" spans="1:9" x14ac:dyDescent="0.4">
      <c r="A23" s="32" t="s">
        <v>104</v>
      </c>
      <c r="B23" s="33">
        <v>290500</v>
      </c>
      <c r="C23" s="33">
        <v>10100</v>
      </c>
      <c r="D23" s="33">
        <v>53600</v>
      </c>
      <c r="E23" s="33">
        <v>226800</v>
      </c>
      <c r="F23" s="33"/>
    </row>
    <row r="24" spans="1:9" x14ac:dyDescent="0.4">
      <c r="A24" s="32" t="s">
        <v>105</v>
      </c>
      <c r="B24" s="33">
        <v>159500</v>
      </c>
      <c r="C24" s="32"/>
      <c r="D24" s="33">
        <v>23800</v>
      </c>
      <c r="E24" s="33">
        <v>135600</v>
      </c>
      <c r="F24" s="33"/>
    </row>
    <row r="25" spans="1:9" ht="29" x14ac:dyDescent="0.4">
      <c r="A25" s="32" t="s">
        <v>106</v>
      </c>
      <c r="B25" s="33">
        <v>130400</v>
      </c>
      <c r="C25" s="32" t="s">
        <v>115</v>
      </c>
      <c r="D25" s="33">
        <v>17500</v>
      </c>
      <c r="E25" s="33">
        <v>112900</v>
      </c>
      <c r="F25" s="33"/>
    </row>
    <row r="26" spans="1:9" x14ac:dyDescent="0.4">
      <c r="A26" s="32" t="s">
        <v>107</v>
      </c>
      <c r="B26" s="33">
        <v>46300</v>
      </c>
      <c r="C26" s="33">
        <v>1900</v>
      </c>
      <c r="D26" s="33">
        <v>36700</v>
      </c>
      <c r="E26" s="33">
        <v>7600</v>
      </c>
      <c r="F26" s="32"/>
    </row>
    <row r="27" spans="1:9" x14ac:dyDescent="0.4">
      <c r="A27" s="32" t="s">
        <v>108</v>
      </c>
      <c r="B27" s="33">
        <v>167700</v>
      </c>
      <c r="C27" s="33">
        <v>16500</v>
      </c>
      <c r="D27" s="33">
        <v>28900</v>
      </c>
      <c r="E27" s="33">
        <v>122300</v>
      </c>
      <c r="F27" s="32"/>
    </row>
    <row r="28" spans="1:9" x14ac:dyDescent="0.4">
      <c r="A28" s="32" t="s">
        <v>109</v>
      </c>
      <c r="B28" s="33">
        <v>119100</v>
      </c>
      <c r="C28" s="33">
        <v>35600</v>
      </c>
      <c r="D28" s="33">
        <v>41800</v>
      </c>
      <c r="E28" s="33">
        <v>41700</v>
      </c>
      <c r="F28" s="32"/>
    </row>
    <row r="29" spans="1:9" x14ac:dyDescent="0.4">
      <c r="A29" s="32" t="s">
        <v>110</v>
      </c>
      <c r="B29" s="33">
        <v>12800</v>
      </c>
      <c r="C29" s="33">
        <v>8800</v>
      </c>
      <c r="D29" s="33">
        <v>3300</v>
      </c>
      <c r="E29" s="32">
        <v>7000</v>
      </c>
      <c r="F29" s="32"/>
    </row>
    <row r="30" spans="1:9" s="27" customFormat="1" x14ac:dyDescent="0.4">
      <c r="A30" s="19"/>
      <c r="B30" s="34"/>
      <c r="C30" s="19"/>
      <c r="D30" s="19"/>
      <c r="E30" s="19"/>
      <c r="F30" s="19"/>
      <c r="G30" s="19"/>
      <c r="H30" s="19"/>
      <c r="I30" s="29"/>
    </row>
    <row r="31" spans="1:9" x14ac:dyDescent="0.4">
      <c r="A31" s="23" t="s">
        <v>117</v>
      </c>
      <c r="B31" s="35"/>
      <c r="C31" s="23"/>
      <c r="D31" s="23"/>
      <c r="E31" s="23"/>
      <c r="F31" s="23"/>
      <c r="G31" s="23"/>
      <c r="H31" s="23"/>
      <c r="I31" s="26"/>
    </row>
    <row r="32" spans="1:9" x14ac:dyDescent="0.4">
      <c r="A32" s="25" t="s">
        <v>137</v>
      </c>
      <c r="B32" s="35"/>
      <c r="C32" s="23"/>
      <c r="D32" s="23"/>
      <c r="E32" s="23"/>
      <c r="F32" s="23"/>
      <c r="G32" s="23"/>
      <c r="H32" s="23"/>
      <c r="I32" s="26"/>
    </row>
    <row r="33" spans="1:9" x14ac:dyDescent="0.4">
      <c r="A33" s="19"/>
      <c r="B33" s="34"/>
    </row>
    <row r="34" spans="1:9" x14ac:dyDescent="0.4">
      <c r="A34" s="27"/>
      <c r="B34" s="27" t="s">
        <v>90</v>
      </c>
      <c r="C34" s="28" t="s">
        <v>112</v>
      </c>
      <c r="D34" s="27" t="s">
        <v>113</v>
      </c>
      <c r="E34" s="27" t="s">
        <v>114</v>
      </c>
    </row>
    <row r="35" spans="1:9" ht="132" customHeight="1" x14ac:dyDescent="0.4">
      <c r="A35" s="36" t="s">
        <v>120</v>
      </c>
      <c r="B35" s="37">
        <f>SUM(C35:E35)</f>
        <v>12895</v>
      </c>
      <c r="C35" s="38">
        <v>966</v>
      </c>
      <c r="D35" s="37">
        <v>1157</v>
      </c>
      <c r="E35" s="58">
        <f>3183+7589</f>
        <v>10772</v>
      </c>
      <c r="I35" s="105" t="s">
        <v>235</v>
      </c>
    </row>
    <row r="36" spans="1:9" ht="16.5" x14ac:dyDescent="0.45">
      <c r="A36" s="19" t="s">
        <v>122</v>
      </c>
      <c r="B36" s="34">
        <f>B9/B35</f>
        <v>408.68553702985656</v>
      </c>
      <c r="C36" s="34">
        <f>C9/C35</f>
        <v>543.16770186335407</v>
      </c>
      <c r="D36" s="39">
        <f>D9/D35</f>
        <v>2272.1694036300778</v>
      </c>
      <c r="E36" s="34">
        <f>E9/E35</f>
        <v>161.4092090605273</v>
      </c>
    </row>
    <row r="37" spans="1:9" x14ac:dyDescent="0.4">
      <c r="A37" s="19"/>
      <c r="B37" s="34"/>
    </row>
    <row r="38" spans="1:9" x14ac:dyDescent="0.4">
      <c r="A38" s="40" t="s">
        <v>138</v>
      </c>
      <c r="B38" s="41"/>
      <c r="C38" s="42"/>
      <c r="D38" s="42"/>
      <c r="E38" s="42"/>
      <c r="F38" s="42"/>
      <c r="G38" s="42"/>
      <c r="H38" s="42"/>
      <c r="I38" s="43"/>
    </row>
    <row r="39" spans="1:9" x14ac:dyDescent="0.4">
      <c r="A39" s="19"/>
      <c r="B39" s="27"/>
    </row>
    <row r="40" spans="1:9" ht="29" x14ac:dyDescent="0.4">
      <c r="A40" s="25"/>
      <c r="B40" s="24"/>
      <c r="C40" s="104" t="s">
        <v>247</v>
      </c>
      <c r="D40" s="104" t="s">
        <v>248</v>
      </c>
      <c r="E40" s="104" t="s">
        <v>249</v>
      </c>
      <c r="F40" s="104" t="s">
        <v>250</v>
      </c>
      <c r="G40" s="104" t="s">
        <v>251</v>
      </c>
      <c r="H40" s="104" t="s">
        <v>252</v>
      </c>
    </row>
    <row r="41" spans="1:9" x14ac:dyDescent="0.4">
      <c r="A41" s="19"/>
      <c r="B41" s="34"/>
      <c r="H41" s="29"/>
    </row>
    <row r="42" spans="1:9" x14ac:dyDescent="0.4">
      <c r="A42" s="25" t="s">
        <v>59</v>
      </c>
      <c r="B42" s="24"/>
      <c r="C42" s="25">
        <v>45658</v>
      </c>
      <c r="D42" s="25">
        <v>46023</v>
      </c>
      <c r="E42" s="25">
        <v>46388</v>
      </c>
      <c r="F42" s="25">
        <v>46753</v>
      </c>
      <c r="G42" s="25">
        <v>47119</v>
      </c>
      <c r="H42" s="103">
        <v>47484</v>
      </c>
    </row>
    <row r="43" spans="1:9" ht="16.5" x14ac:dyDescent="0.45">
      <c r="A43" s="19" t="s">
        <v>48</v>
      </c>
      <c r="B43" s="34" t="s">
        <v>80</v>
      </c>
      <c r="C43" s="44">
        <v>10</v>
      </c>
      <c r="D43" s="44">
        <v>100</v>
      </c>
      <c r="E43" s="44">
        <v>250</v>
      </c>
      <c r="F43" s="44">
        <v>500</v>
      </c>
      <c r="H43" s="29"/>
    </row>
    <row r="44" spans="1:9" x14ac:dyDescent="0.4">
      <c r="A44" s="19" t="s">
        <v>49</v>
      </c>
      <c r="B44" s="34" t="s">
        <v>80</v>
      </c>
      <c r="C44" s="19">
        <v>5</v>
      </c>
      <c r="D44" s="19">
        <v>50</v>
      </c>
      <c r="E44" s="19">
        <v>150</v>
      </c>
      <c r="F44" s="19">
        <v>200</v>
      </c>
      <c r="H44" s="29"/>
    </row>
    <row r="45" spans="1:9" x14ac:dyDescent="0.4">
      <c r="A45" s="19" t="s">
        <v>50</v>
      </c>
      <c r="B45" s="34" t="s">
        <v>80</v>
      </c>
      <c r="C45" s="19">
        <v>10</v>
      </c>
      <c r="D45" s="19">
        <v>100</v>
      </c>
      <c r="E45" s="19">
        <v>300</v>
      </c>
      <c r="F45" s="19">
        <v>400</v>
      </c>
      <c r="H45" s="29"/>
    </row>
    <row r="46" spans="1:9" x14ac:dyDescent="0.4">
      <c r="A46" s="19"/>
      <c r="B46" s="34"/>
      <c r="H46" s="29"/>
    </row>
    <row r="47" spans="1:9" x14ac:dyDescent="0.4">
      <c r="A47" s="19" t="s">
        <v>58</v>
      </c>
      <c r="B47" s="34" t="s">
        <v>80</v>
      </c>
      <c r="C47" s="19">
        <v>10</v>
      </c>
      <c r="D47" s="19">
        <v>100</v>
      </c>
      <c r="E47" s="19">
        <v>300</v>
      </c>
      <c r="F47" s="19">
        <v>400</v>
      </c>
      <c r="H47" s="29"/>
    </row>
    <row r="48" spans="1:9" x14ac:dyDescent="0.4">
      <c r="A48" s="19"/>
      <c r="B48" s="34"/>
      <c r="H48" s="29"/>
    </row>
    <row r="49" spans="1:8" x14ac:dyDescent="0.4">
      <c r="A49" s="19" t="s">
        <v>60</v>
      </c>
      <c r="B49" s="34" t="s">
        <v>89</v>
      </c>
      <c r="C49" s="19">
        <v>0.5</v>
      </c>
      <c r="D49" s="19">
        <f>C49</f>
        <v>0.5</v>
      </c>
      <c r="E49" s="19">
        <f t="shared" ref="E49:F49" si="0">D49</f>
        <v>0.5</v>
      </c>
      <c r="F49" s="19">
        <f t="shared" si="0"/>
        <v>0.5</v>
      </c>
      <c r="G49" s="19">
        <f>F49</f>
        <v>0.5</v>
      </c>
      <c r="H49" s="29">
        <f>G49</f>
        <v>0.5</v>
      </c>
    </row>
    <row r="50" spans="1:8" x14ac:dyDescent="0.4">
      <c r="A50" s="19" t="s">
        <v>61</v>
      </c>
      <c r="B50" s="34" t="s">
        <v>89</v>
      </c>
      <c r="C50" s="19">
        <v>0.3</v>
      </c>
      <c r="D50" s="19">
        <f t="shared" ref="D50:G51" si="1">C50</f>
        <v>0.3</v>
      </c>
      <c r="E50" s="19">
        <f t="shared" si="1"/>
        <v>0.3</v>
      </c>
      <c r="F50" s="19">
        <f t="shared" si="1"/>
        <v>0.3</v>
      </c>
      <c r="G50" s="19">
        <f t="shared" si="1"/>
        <v>0.3</v>
      </c>
      <c r="H50" s="29">
        <f>G50</f>
        <v>0.3</v>
      </c>
    </row>
    <row r="51" spans="1:8" x14ac:dyDescent="0.4">
      <c r="A51" s="19" t="s">
        <v>62</v>
      </c>
      <c r="B51" s="34" t="s">
        <v>89</v>
      </c>
      <c r="C51" s="19">
        <f>1-C49-C50</f>
        <v>0.2</v>
      </c>
      <c r="D51" s="19">
        <f t="shared" ref="D51:F51" si="2">1-D49-D50</f>
        <v>0.2</v>
      </c>
      <c r="E51" s="19">
        <f t="shared" si="2"/>
        <v>0.2</v>
      </c>
      <c r="F51" s="19">
        <f t="shared" si="2"/>
        <v>0.2</v>
      </c>
      <c r="G51" s="19">
        <f t="shared" si="1"/>
        <v>0.2</v>
      </c>
      <c r="H51" s="29">
        <f>G51</f>
        <v>0.2</v>
      </c>
    </row>
    <row r="52" spans="1:8" x14ac:dyDescent="0.4">
      <c r="A52" s="19"/>
      <c r="B52" s="34"/>
    </row>
    <row r="53" spans="1:8" x14ac:dyDescent="0.4">
      <c r="A53" s="19" t="s">
        <v>66</v>
      </c>
      <c r="B53" s="34" t="s">
        <v>79</v>
      </c>
      <c r="C53" s="19">
        <v>35000</v>
      </c>
    </row>
    <row r="54" spans="1:8" x14ac:dyDescent="0.4">
      <c r="A54" s="19" t="s">
        <v>67</v>
      </c>
      <c r="B54" s="34" t="s">
        <v>79</v>
      </c>
      <c r="C54" s="19">
        <v>5000</v>
      </c>
    </row>
    <row r="55" spans="1:8" x14ac:dyDescent="0.4">
      <c r="A55" s="19" t="s">
        <v>68</v>
      </c>
      <c r="B55" s="34" t="s">
        <v>79</v>
      </c>
      <c r="C55" s="19">
        <v>100000</v>
      </c>
    </row>
    <row r="56" spans="1:8" x14ac:dyDescent="0.4">
      <c r="A56" s="19" t="s">
        <v>69</v>
      </c>
      <c r="B56" s="34" t="s">
        <v>79</v>
      </c>
      <c r="C56" s="19">
        <v>15000</v>
      </c>
    </row>
    <row r="57" spans="1:8" x14ac:dyDescent="0.4">
      <c r="A57" s="19" t="s">
        <v>70</v>
      </c>
      <c r="B57" s="34" t="s">
        <v>79</v>
      </c>
      <c r="C57" s="19">
        <v>200000</v>
      </c>
    </row>
    <row r="58" spans="1:8" x14ac:dyDescent="0.4">
      <c r="A58" s="19" t="s">
        <v>71</v>
      </c>
      <c r="B58" s="34" t="s">
        <v>79</v>
      </c>
      <c r="C58" s="19">
        <v>30000</v>
      </c>
    </row>
  </sheetData>
  <mergeCells count="2">
    <mergeCell ref="A1:I1"/>
    <mergeCell ref="A2:I2"/>
  </mergeCells>
  <phoneticPr fontId="24" type="noConversion"/>
  <hyperlinks>
    <hyperlink ref="I9" display="https://www.destatis.de/DE/Themen/Staat/Oeffentlicher-Dienst/Tabellen/beschaeftigte-aufgaben.html" xr:uid="{2744CEE7-F463-4CB2-A09F-D6163A5A8324}"/>
  </hyperlinks>
  <pageMargins left="0.25" right="0.25" top="0.75" bottom="0.75" header="0.3" footer="0.3"/>
  <pageSetup paperSize="9" scale="64" fitToHeight="0" orientation="landscape" r:id="rId1"/>
  <rowBreaks count="1" manualBreakCount="1">
    <brk id="3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52017CD0127043B35815A84DF9DE93" ma:contentTypeVersion="5" ma:contentTypeDescription="Ein neues Dokument erstellen." ma:contentTypeScope="" ma:versionID="36d32fdf04217f878c6bf8ddfb262865">
  <xsd:schema xmlns:xsd="http://www.w3.org/2001/XMLSchema" xmlns:xs="http://www.w3.org/2001/XMLSchema" xmlns:p="http://schemas.microsoft.com/office/2006/metadata/properties" xmlns:ns2="b720a218-5564-4efa-9035-97acff52564c" targetNamespace="http://schemas.microsoft.com/office/2006/metadata/properties" ma:root="true" ma:fieldsID="99eb4e51c8a49491433cc2c52e050882" ns2:_="">
    <xsd:import namespace="b720a218-5564-4efa-9035-97acff52564c"/>
    <xsd:element name="properties">
      <xsd:complexType>
        <xsd:sequence>
          <xsd:element name="documentManagement">
            <xsd:complexType>
              <xsd:all>
                <xsd:element ref="ns2:Themenverantwortlicher"/>
                <xsd:element ref="ns2:Dokumententyp"/>
                <xsd:element ref="ns2:Bearbeitungsstatu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0a218-5564-4efa-9035-97acff52564c" elementFormDefault="qualified">
    <xsd:import namespace="http://schemas.microsoft.com/office/2006/documentManagement/types"/>
    <xsd:import namespace="http://schemas.microsoft.com/office/infopath/2007/PartnerControls"/>
    <xsd:element name="Themenverantwortlicher" ma:index="8" ma:displayName="Themenverantwortlicher" ma:description="Wer bringt diesen TOP ein?" ma:format="Dropdown" ma:internalName="Themenverantwortlicher">
      <xsd:simpleType>
        <xsd:restriction base="dms:Choice">
          <xsd:enumeration value="Geschäftsstelle"/>
          <xsd:enumeration value="Bund"/>
          <xsd:enumeration value="FITKO"/>
          <xsd:enumeration value="Baden-Württemberg"/>
          <xsd:enumeration value="Bayern"/>
          <xsd:enumeration value="Berlin"/>
          <xsd:enumeration value="Brandenburg"/>
          <xsd:enumeration value="Bremen"/>
          <xsd:enumeration value="Hamburg"/>
          <xsd:enumeration value="Hessen"/>
          <xsd:enumeration value="Mecklenburg-Vorpommern"/>
          <xsd:enumeration value="Niedersachsen"/>
          <xsd:enumeration value="Nordrhein-Westfalen"/>
          <xsd:enumeration value="Rheinland-Pfalz"/>
          <xsd:enumeration value="Saarland"/>
          <xsd:enumeration value="Sachsen"/>
          <xsd:enumeration value="Sachsen-Anhalt"/>
          <xsd:enumeration value="Schleswig-Holstein"/>
          <xsd:enumeration value="Thüringen"/>
          <xsd:enumeration value="Dt. Landkreistag"/>
          <xsd:enumeration value="Dt- Städtetag"/>
          <xsd:enumeration value="Dt. Städte-/Gemeindebund"/>
          <xsd:enumeration value="DSTGB"/>
          <xsd:enumeration value="Sonstiges"/>
        </xsd:restriction>
      </xsd:simpleType>
    </xsd:element>
    <xsd:element name="Dokumententyp" ma:index="9" ma:displayName="Dokumententyp" ma:description="Bitte Typ des Dokuments wählen" ma:format="Dropdown" ma:internalName="Dokumententyp">
      <xsd:simpleType>
        <xsd:restriction base="dms:Choice">
          <xsd:enumeration value="Einladung"/>
          <xsd:enumeration value="Tagesordnung"/>
          <xsd:enumeration value="Steckbrief"/>
          <xsd:enumeration value="Anlage"/>
          <xsd:enumeration value="Entscheidungsniederschrift"/>
          <xsd:enumeration value="Protokoll"/>
          <xsd:enumeration value="Zusammenfassung Steckbriefe"/>
          <xsd:enumeration value="Sonstiges"/>
        </xsd:restriction>
      </xsd:simpleType>
    </xsd:element>
    <xsd:element name="Bearbeitungsstatus" ma:index="10" ma:displayName="Bearbeitungsstatus" ma:default="In Bearbeitung/nicht eingereicht" ma:description="Ist Dokument final/kann durch GS geprüft werden?" ma:format="Dropdown" ma:internalName="Bearbeitungsstatus">
      <xsd:simpleType>
        <xsd:restriction base="dms:Choice">
          <xsd:enumeration value="In Bearbeitung/nicht eingereicht"/>
          <xsd:enumeration value="Final/Einreichung bei G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kumententyp xmlns="b720a218-5564-4efa-9035-97acff52564c">Anlage</Dokumententyp>
    <Themenverantwortlicher xmlns="b720a218-5564-4efa-9035-97acff52564c">Bund</Themenverantwortlicher>
    <Bearbeitungsstatus xmlns="b720a218-5564-4efa-9035-97acff52564c">Final/Einreichung bei GS</Bearbeitungsstatus>
  </documentManagement>
</p:properties>
</file>

<file path=customXml/itemProps1.xml><?xml version="1.0" encoding="utf-8"?>
<ds:datastoreItem xmlns:ds="http://schemas.openxmlformats.org/officeDocument/2006/customXml" ds:itemID="{B637BB46-78E2-428B-8CB4-7DE9F1DDF0F5}"/>
</file>

<file path=customXml/itemProps2.xml><?xml version="1.0" encoding="utf-8"?>
<ds:datastoreItem xmlns:ds="http://schemas.openxmlformats.org/officeDocument/2006/customXml" ds:itemID="{24A699BE-6432-4B14-89DA-F84FC493EE12}"/>
</file>

<file path=customXml/itemProps3.xml><?xml version="1.0" encoding="utf-8"?>
<ds:datastoreItem xmlns:ds="http://schemas.openxmlformats.org/officeDocument/2006/customXml" ds:itemID="{75908E08-79BE-4704-A94F-1221FC7B4FA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9</vt:i4>
      </vt:variant>
    </vt:vector>
  </HeadingPairs>
  <TitlesOfParts>
    <vt:vector size="14" baseType="lpstr">
      <vt:lpstr>Erläuterung</vt:lpstr>
      <vt:lpstr>Dashboard</vt:lpstr>
      <vt:lpstr>Business Case</vt:lpstr>
      <vt:lpstr>Sensitivitäten</vt:lpstr>
      <vt:lpstr>Eingangswerte</vt:lpstr>
      <vt:lpstr>'Business Case'!Druckbereich</vt:lpstr>
      <vt:lpstr>'Business Case'!Drucktitel</vt:lpstr>
      <vt:lpstr>Gesamtergebnis2029</vt:lpstr>
      <vt:lpstr>ParameterAnzahlLandesbehörden</vt:lpstr>
      <vt:lpstr>ParameterAnzahlMALanedesbehörde</vt:lpstr>
      <vt:lpstr>ParameterBestellungen2025</vt:lpstr>
      <vt:lpstr>ParameterBestellungen2026</vt:lpstr>
      <vt:lpstr>ParameterBestellungen2027</vt:lpstr>
      <vt:lpstr>ParameterBestellungen2028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DVC Business Case Langfristige Finanzierung</dc:title>
  <dc:creator/>
  <cp:lastModifiedBy/>
  <cp:revision>1</cp:revision>
  <dcterms:created xsi:type="dcterms:W3CDTF">2025-02-19T15:27:33Z</dcterms:created>
  <dcterms:modified xsi:type="dcterms:W3CDTF">2025-02-25T12:38:04Z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0x0101009252017CD0127043B35815A84DF9DE93</vt:lpwstr>
  </property>
</Properties>
</file>